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жовтень" sheetId="1" r:id="rId1"/>
    <sheet name="вересень" sheetId="2" r:id="rId2"/>
    <sheet name="серпень" sheetId="3" r:id="rId3"/>
    <sheet name="липень" sheetId="4" r:id="rId4"/>
    <sheet name="червень" sheetId="5" r:id="rId5"/>
    <sheet name="травень" sheetId="6" r:id="rId6"/>
    <sheet name="квітень" sheetId="7" r:id="rId7"/>
    <sheet name="березень" sheetId="8" r:id="rId8"/>
    <sheet name="лютий" sheetId="9" r:id="rId9"/>
    <sheet name="січень-2" sheetId="10" r:id="rId10"/>
    <sheet name="січень" sheetId="11" r:id="rId11"/>
  </sheets>
  <externalReferences>
    <externalReference r:id="rId14"/>
  </externalReferences>
  <definedNames>
    <definedName name="_xlnm.Print_Area" localSheetId="10">'січень'!$A$1:$R$87</definedName>
    <definedName name="_xlnm.Print_Area" localSheetId="4">'червень'!$B$2:$J$85</definedName>
  </definedNames>
  <calcPr fullCalcOnLoad="1"/>
</workbook>
</file>

<file path=xl/sharedStrings.xml><?xml version="1.0" encoding="utf-8"?>
<sst xmlns="http://schemas.openxmlformats.org/spreadsheetml/2006/main" count="1425" uniqueCount="216">
  <si>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</si>
  <si>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</si>
  <si>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</si>
  <si>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</si>
  <si>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</si>
  <si>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</si>
  <si>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</si>
  <si>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</si>
  <si>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</si>
  <si>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</si>
  <si>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</si>
  <si>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</si>
  <si>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</si>
  <si>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</si>
  <si>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</si>
  <si>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</si>
  <si>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</si>
  <si>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</si>
  <si>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</si>
  <si>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</si>
  <si>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</si>
  <si>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</si>
  <si>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</si>
  <si>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</si>
  <si>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</si>
  <si>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</si>
  <si>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</si>
  <si>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</si>
  <si>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</si>
  <si>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</si>
  <si>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</si>
  <si>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</si>
  <si>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</si>
  <si>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</si>
  <si>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</si>
  <si>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</si>
  <si>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</si>
  <si>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</si>
  <si>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</si>
  <si>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</si>
  <si>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</si>
  <si>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</si>
  <si>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</si>
  <si>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</si>
  <si>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</si>
  <si>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</si>
  <si>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</si>
  <si>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</si>
  <si>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</si>
  <si>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</si>
  <si>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</si>
  <si>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</si>
  <si>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</si>
  <si>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</si>
  <si>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</si>
  <si>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</si>
  <si>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</si>
  <si>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</si>
  <si>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</si>
  <si>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</si>
  <si>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</si>
  <si>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</si>
  <si>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</si>
  <si>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</si>
  <si>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</si>
  <si>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</si>
  <si>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</si>
  <si>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</si>
  <si>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</si>
  <si>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</si>
  <si>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</si>
  <si>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</si>
  <si>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</si>
  <si>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</si>
  <si>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</si>
  <si>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</si>
  <si>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</si>
  <si>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</si>
  <si>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</si>
  <si>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</si>
  <si>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</si>
  <si>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</si>
  <si>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</si>
  <si>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</si>
  <si>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</si>
  <si>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</si>
  <si>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</si>
  <si>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</si>
  <si>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</si>
  <si>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</si>
  <si>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</si>
  <si>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</si>
  <si>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</si>
  <si>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</si>
  <si>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</si>
  <si>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</si>
  <si>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</si>
  <si>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</si>
  <si>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</si>
  <si>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</si>
  <si>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</si>
  <si>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</si>
  <si>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</si>
  <si>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</si>
  <si>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</si>
  <si>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</si>
  <si>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</si>
  <si>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</si>
  <si>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</si>
  <si>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</si>
  <si>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</si>
  <si>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</si>
  <si>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</si>
  <si>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</si>
  <si>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</si>
  <si>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</si>
  <si>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</si>
  <si>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</si>
  <si>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</si>
  <si>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</si>
  <si>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</si>
  <si>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</si>
  <si>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</si>
  <si>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</si>
  <si>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</si>
  <si>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</si>
  <si>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</si>
  <si>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</si>
  <si>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</si>
  <si>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</si>
  <si>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</si>
  <si>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</si>
  <si>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</si>
  <si>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</si>
  <si>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</si>
  <si>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</si>
  <si>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</si>
  <si>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</si>
  <si>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</si>
  <si>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</si>
  <si>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</si>
  <si>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</si>
  <si>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</si>
  <si>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</si>
  <si>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</si>
  <si>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</si>
  <si>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</si>
  <si>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</si>
  <si>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</si>
  <si>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</si>
  <si>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</si>
  <si>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</si>
  <si>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</si>
  <si>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</si>
  <si>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</si>
  <si>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</si>
  <si>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</si>
  <si>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29.04.16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</si>
  <si>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</si>
  <si>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2016 року</t>
  </si>
  <si>
    <t>% виконання  плану на січень-травень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</si>
  <si>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</si>
  <si>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</si>
  <si>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</si>
  <si>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t>житлове</t>
  </si>
  <si>
    <t>нежитлове</t>
  </si>
  <si>
    <t>податок</t>
  </si>
  <si>
    <t>оренда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</si>
  <si>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</si>
  <si>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</si>
  <si>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</si>
  <si>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</si>
  <si>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</si>
  <si>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</si>
  <si>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2016 та 2015 років</t>
    </r>
  </si>
  <si>
    <t>% виконання  плану на січень-червень 2016 року</t>
  </si>
  <si>
    <t>hh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</si>
  <si>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01.07.2016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</si>
  <si>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</si>
  <si>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</si>
  <si>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Відхилення (+,-) до  плану на січень-липень 2016 року</t>
  </si>
  <si>
    <t>% виконання  плану на січень-липень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</si>
  <si>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</si>
  <si>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</si>
  <si>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</si>
  <si>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t xml:space="preserve"> + -</t>
  </si>
  <si>
    <t>факт 2015</t>
  </si>
  <si>
    <t xml:space="preserve"> - Збір за місця для паркування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</si>
  <si>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</si>
  <si>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29.07.16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</si>
  <si>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</t>
    </r>
  </si>
  <si>
    <t>Відхилення (+,-) до  плану на січень-серпень 2016 року</t>
  </si>
  <si>
    <t>% виконання  плану на січень-серпень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</si>
  <si>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</si>
  <si>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</si>
  <si>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</si>
  <si>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</si>
  <si>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</si>
  <si>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січень-вересень</t>
    </r>
  </si>
  <si>
    <t>Відхилення (+,-) до  плану на січень-вересень 2016 року</t>
  </si>
  <si>
    <t>% виконання  плану на січень-вересень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</si>
  <si>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 місяць  </t>
    </r>
  </si>
  <si>
    <t>Виконано у вересні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</si>
  <si>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січень-вересень</t>
    </r>
    <r>
      <rPr>
        <b/>
        <sz val="10"/>
        <rFont val="Times New Roman"/>
        <family val="1"/>
      </rPr>
      <t xml:space="preserve"> 2016 та 2015 років</t>
    </r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</si>
  <si>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</si>
  <si>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</si>
  <si>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01.10.2016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</si>
  <si>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30.09.16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</si>
  <si>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 місяць  </t>
    </r>
  </si>
  <si>
    <t>Виконано у жовтні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</si>
  <si>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січень-жовтень</t>
    </r>
  </si>
  <si>
    <t>Відхилення (+,-) до  плану на січень-жовтень 2016 року</t>
  </si>
  <si>
    <t>% виконання  плану на січень-жовтень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</si>
  <si>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січень-жовтень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</si>
  <si>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31.10.2016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</si>
  <si>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28.10.16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</si>
</sst>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85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7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26" fillId="0" borderId="0">
      <alignment/>
      <protection/>
    </xf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461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8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9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9" fillId="0" borderId="10" xfId="0" applyNumberFormat="1" applyFont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0" fillId="0" borderId="10" xfId="0" applyNumberFormat="1" applyFont="1" applyFill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Fill="1" applyBorder="1" applyAlignment="1" applyProtection="1">
      <alignment horizontal="right"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Border="1" applyAlignment="1" applyProtection="1">
      <alignment/>
      <protection/>
    </xf>
    <xf numFmtId="182" fontId="8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8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8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6" fillId="37" borderId="10" xfId="54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/>
      <protection locked="0"/>
    </xf>
    <xf numFmtId="182" fontId="39" fillId="37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40" fillId="37" borderId="10" xfId="0" applyNumberFormat="1" applyFont="1" applyFill="1" applyBorder="1" applyAlignment="1" applyProtection="1">
      <alignment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7" fillId="39" borderId="0" xfId="54" applyNumberFormat="1" applyFont="1" applyFill="1" applyProtection="1">
      <alignment/>
      <protection/>
    </xf>
    <xf numFmtId="182" fontId="7" fillId="39" borderId="0" xfId="54" applyNumberFormat="1" applyFont="1" applyFill="1" applyBorder="1" applyProtection="1">
      <alignment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0" xfId="59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1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191" fontId="21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82" fontId="39" fillId="37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Fill="1" applyBorder="1" applyAlignment="1" applyProtection="1">
      <alignment/>
      <protection/>
    </xf>
    <xf numFmtId="191" fontId="39" fillId="37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5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2" fillId="0" borderId="0" xfId="0" applyFont="1" applyAlignment="1" applyProtection="1">
      <alignment/>
      <protection/>
    </xf>
    <xf numFmtId="0" fontId="12" fillId="0" borderId="0" xfId="54" applyFont="1" applyAlignment="1" applyProtection="1">
      <alignment horizontal="center" vertical="center"/>
      <protection/>
    </xf>
    <xf numFmtId="191" fontId="6" fillId="0" borderId="0" xfId="54" applyNumberFormat="1" applyFont="1" applyAlignment="1" applyProtection="1">
      <alignment horizontal="center" vertical="center"/>
      <protection/>
    </xf>
    <xf numFmtId="0" fontId="2" fillId="0" borderId="0" xfId="54" applyFont="1" applyAlignment="1" applyProtection="1">
      <alignment vertical="center"/>
      <protection/>
    </xf>
    <xf numFmtId="0" fontId="83" fillId="0" borderId="16" xfId="54" applyFont="1" applyFill="1" applyBorder="1" applyAlignment="1" applyProtection="1">
      <alignment vertical="center"/>
      <protection/>
    </xf>
    <xf numFmtId="0" fontId="83" fillId="0" borderId="0" xfId="54" applyFont="1" applyAlignment="1" applyProtection="1">
      <alignment horizontal="center" vertical="center"/>
      <protection/>
    </xf>
    <xf numFmtId="182" fontId="83" fillId="0" borderId="0" xfId="54" applyNumberFormat="1" applyFont="1" applyFill="1" applyAlignment="1" applyProtection="1">
      <alignment horizontal="center" vertical="center"/>
      <protection/>
    </xf>
    <xf numFmtId="0" fontId="84" fillId="0" borderId="0" xfId="54" applyFont="1" applyAlignment="1" applyProtection="1">
      <alignment vertical="center"/>
      <protection/>
    </xf>
    <xf numFmtId="0" fontId="3" fillId="0" borderId="0" xfId="54" applyFont="1" applyAlignment="1" applyProtection="1">
      <alignment horizontal="right" vertical="center"/>
      <protection/>
    </xf>
    <xf numFmtId="191" fontId="6" fillId="0" borderId="0" xfId="54" applyNumberFormat="1" applyFont="1" applyAlignment="1" applyProtection="1">
      <alignment horizontal="right" vertical="center"/>
      <protection/>
    </xf>
    <xf numFmtId="0" fontId="6" fillId="0" borderId="0" xfId="54" applyFont="1" applyAlignment="1" applyProtection="1">
      <alignment horizontal="center" vertical="center"/>
      <protection/>
    </xf>
    <xf numFmtId="9" fontId="4" fillId="0" borderId="10" xfId="59" applyFont="1" applyFill="1" applyBorder="1" applyAlignment="1" applyProtection="1">
      <alignment horizontal="center" vertical="center" wrapText="1"/>
      <protection/>
    </xf>
    <xf numFmtId="0" fontId="6" fillId="0" borderId="10" xfId="54" applyFont="1" applyBorder="1" applyAlignment="1" applyProtection="1">
      <alignment horizontal="center" vertical="center"/>
      <protection/>
    </xf>
    <xf numFmtId="49" fontId="6" fillId="34" borderId="10" xfId="0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Border="1" applyAlignment="1" applyProtection="1">
      <alignment vertical="center"/>
      <protection/>
    </xf>
    <xf numFmtId="191" fontId="16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Fill="1" applyBorder="1" applyAlignment="1" applyProtection="1">
      <alignment horizontal="right" vertical="center"/>
      <protection locked="0"/>
    </xf>
    <xf numFmtId="182" fontId="19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vertical="center"/>
      <protection/>
    </xf>
    <xf numFmtId="182" fontId="19" fillId="13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Border="1" applyAlignment="1" applyProtection="1">
      <alignment vertical="center"/>
      <protection/>
    </xf>
    <xf numFmtId="191" fontId="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91" fontId="19" fillId="0" borderId="10" xfId="0" applyNumberFormat="1" applyFont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80" fillId="0" borderId="10" xfId="0" applyNumberFormat="1" applyFont="1" applyFill="1" applyBorder="1" applyAlignment="1" applyProtection="1">
      <alignment vertical="center"/>
      <protection/>
    </xf>
    <xf numFmtId="182" fontId="17" fillId="0" borderId="10" xfId="0" applyNumberFormat="1" applyFont="1" applyBorder="1" applyAlignment="1" applyProtection="1">
      <alignment vertical="center"/>
      <protection/>
    </xf>
    <xf numFmtId="191" fontId="17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Border="1" applyAlignment="1" applyProtection="1">
      <alignment vertical="center"/>
      <protection/>
    </xf>
    <xf numFmtId="182" fontId="81" fillId="0" borderId="10" xfId="0" applyNumberFormat="1" applyFont="1" applyBorder="1" applyAlignment="1" applyProtection="1">
      <alignment vertical="center"/>
      <protection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 locked="0"/>
    </xf>
    <xf numFmtId="182" fontId="2" fillId="37" borderId="10" xfId="0" applyNumberFormat="1" applyFont="1" applyFill="1" applyBorder="1" applyAlignment="1" applyProtection="1">
      <alignment vertical="center"/>
      <protection/>
    </xf>
    <xf numFmtId="182" fontId="40" fillId="37" borderId="10" xfId="0" applyNumberFormat="1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 vertical="center"/>
      <protection locked="0"/>
    </xf>
    <xf numFmtId="182" fontId="39" fillId="37" borderId="10" xfId="0" applyNumberFormat="1" applyFont="1" applyFill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3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" fontId="4" fillId="33" borderId="10" xfId="0" applyNumberFormat="1" applyFont="1" applyFill="1" applyBorder="1" applyAlignment="1" applyProtection="1">
      <alignment vertical="center"/>
      <protection/>
    </xf>
    <xf numFmtId="0" fontId="7" fillId="0" borderId="14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54" applyFont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 vertical="center" wrapText="1"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" fontId="25" fillId="34" borderId="10" xfId="0" applyNumberFormat="1" applyFont="1" applyFill="1" applyBorder="1" applyAlignment="1" applyProtection="1">
      <alignment vertical="center"/>
      <protection/>
    </xf>
    <xf numFmtId="182" fontId="2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 vertical="center"/>
      <protection/>
    </xf>
    <xf numFmtId="1" fontId="25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16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 locked="0"/>
    </xf>
    <xf numFmtId="182" fontId="16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82" fontId="24" fillId="0" borderId="10" xfId="0" applyNumberFormat="1" applyFont="1" applyFill="1" applyBorder="1" applyAlignment="1" applyProtection="1">
      <alignment vertical="center"/>
      <protection/>
    </xf>
    <xf numFmtId="0" fontId="7" fillId="0" borderId="0" xfId="54" applyFont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horizontal="center" vertical="center"/>
      <protection/>
    </xf>
    <xf numFmtId="0" fontId="10" fillId="0" borderId="10" xfId="54" applyFont="1" applyFill="1" applyBorder="1" applyAlignment="1" applyProtection="1">
      <alignment vertical="center"/>
      <protection/>
    </xf>
    <xf numFmtId="182" fontId="7" fillId="0" borderId="10" xfId="54" applyNumberFormat="1" applyFont="1" applyFill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/>
    </xf>
    <xf numFmtId="191" fontId="7" fillId="0" borderId="10" xfId="0" applyNumberFormat="1" applyFont="1" applyFill="1" applyBorder="1" applyAlignment="1" applyProtection="1">
      <alignment vertical="center"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182" fontId="2" fillId="0" borderId="10" xfId="54" applyNumberFormat="1" applyFont="1" applyFill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vertical="center" wrapText="1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3" fillId="0" borderId="10" xfId="54" applyNumberFormat="1" applyFont="1" applyFill="1" applyBorder="1" applyAlignment="1" applyProtection="1">
      <alignment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 locked="0"/>
    </xf>
    <xf numFmtId="182" fontId="3" fillId="0" borderId="10" xfId="0" applyNumberFormat="1" applyFont="1" applyFill="1" applyBorder="1" applyAlignment="1" applyProtection="1">
      <alignment vertical="center"/>
      <protection/>
    </xf>
    <xf numFmtId="182" fontId="3" fillId="13" borderId="10" xfId="54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91" fontId="7" fillId="0" borderId="14" xfId="0" applyNumberFormat="1" applyFont="1" applyFill="1" applyBorder="1" applyAlignment="1" applyProtection="1">
      <alignment vertical="center"/>
      <protection/>
    </xf>
    <xf numFmtId="0" fontId="25" fillId="0" borderId="10" xfId="54" applyFont="1" applyFill="1" applyBorder="1" applyAlignment="1" applyProtection="1">
      <alignment vertical="center"/>
      <protection/>
    </xf>
    <xf numFmtId="182" fontId="3" fillId="13" borderId="10" xfId="0" applyNumberFormat="1" applyFont="1" applyFill="1" applyBorder="1" applyAlignment="1" applyProtection="1">
      <alignment horizontal="right" vertical="center"/>
      <protection/>
    </xf>
    <xf numFmtId="191" fontId="6" fillId="0" borderId="14" xfId="0" applyNumberFormat="1" applyFont="1" applyFill="1" applyBorder="1" applyAlignment="1" applyProtection="1">
      <alignment vertical="center"/>
      <protection/>
    </xf>
    <xf numFmtId="0" fontId="4" fillId="0" borderId="15" xfId="0" applyFont="1" applyBorder="1" applyAlignment="1">
      <alignment vertical="center"/>
    </xf>
    <xf numFmtId="182" fontId="21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Fill="1" applyBorder="1" applyAlignment="1" applyProtection="1">
      <alignment vertical="center"/>
      <protection/>
    </xf>
    <xf numFmtId="191" fontId="16" fillId="0" borderId="10" xfId="0" applyNumberFormat="1" applyFont="1" applyFill="1" applyBorder="1" applyAlignment="1" applyProtection="1">
      <alignment vertical="center"/>
      <protection/>
    </xf>
    <xf numFmtId="0" fontId="10" fillId="34" borderId="10" xfId="54" applyFont="1" applyFill="1" applyBorder="1" applyAlignment="1" applyProtection="1">
      <alignment vertical="center"/>
      <protection/>
    </xf>
    <xf numFmtId="182" fontId="3" fillId="34" borderId="10" xfId="54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91" fontId="6" fillId="34" borderId="10" xfId="0" applyNumberFormat="1" applyFont="1" applyFill="1" applyBorder="1" applyAlignment="1" applyProtection="1">
      <alignment vertical="center"/>
      <protection/>
    </xf>
    <xf numFmtId="0" fontId="3" fillId="34" borderId="10" xfId="54" applyFont="1" applyFill="1" applyBorder="1" applyAlignment="1" applyProtection="1">
      <alignment horizontal="center" vertical="center"/>
      <protection/>
    </xf>
    <xf numFmtId="182" fontId="8" fillId="40" borderId="10" xfId="54" applyNumberFormat="1" applyFont="1" applyFill="1" applyBorder="1" applyAlignment="1" applyProtection="1">
      <alignment horizontal="center" vertical="center" wrapText="1"/>
      <protection/>
    </xf>
    <xf numFmtId="182" fontId="3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182" fontId="19" fillId="40" borderId="10" xfId="0" applyNumberFormat="1" applyFont="1" applyFill="1" applyBorder="1" applyAlignment="1" applyProtection="1">
      <alignment horizontal="right" vertical="center"/>
      <protection locked="0"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4" fontId="2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6" fillId="40" borderId="10" xfId="0" applyNumberFormat="1" applyFont="1" applyFill="1" applyBorder="1" applyAlignment="1" applyProtection="1">
      <alignment horizontal="right" vertical="center"/>
      <protection/>
    </xf>
    <xf numFmtId="182" fontId="23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54" applyNumberFormat="1" applyFont="1" applyFill="1" applyBorder="1" applyAlignment="1" applyProtection="1">
      <alignment vertical="center"/>
      <protection/>
    </xf>
    <xf numFmtId="182" fontId="2" fillId="40" borderId="10" xfId="54" applyNumberFormat="1" applyFont="1" applyFill="1" applyBorder="1" applyAlignment="1" applyProtection="1">
      <alignment vertical="center"/>
      <protection/>
    </xf>
    <xf numFmtId="182" fontId="3" fillId="40" borderId="10" xfId="54" applyNumberFormat="1" applyFont="1" applyFill="1" applyBorder="1" applyAlignment="1" applyProtection="1">
      <alignment vertical="center"/>
      <protection/>
    </xf>
    <xf numFmtId="191" fontId="80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0" fontId="12" fillId="0" borderId="0" xfId="54" applyFont="1" applyAlignment="1" applyProtection="1">
      <alignment horizontal="center"/>
      <protection/>
    </xf>
    <xf numFmtId="0" fontId="80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7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9" xfId="54" applyNumberFormat="1" applyFont="1" applyFill="1" applyBorder="1" applyAlignment="1" applyProtection="1">
      <alignment horizontal="center" vertical="center" wrapText="1"/>
      <protection/>
    </xf>
    <xf numFmtId="182" fontId="4" fillId="0" borderId="17" xfId="54" applyNumberFormat="1" applyFont="1" applyFill="1" applyBorder="1" applyAlignment="1" applyProtection="1">
      <alignment horizontal="center" vertical="center" wrapText="1"/>
      <protection/>
    </xf>
    <xf numFmtId="182" fontId="6" fillId="38" borderId="13" xfId="0" applyNumberFormat="1" applyFont="1" applyFill="1" applyBorder="1" applyAlignment="1" applyProtection="1">
      <alignment horizontal="center" vertical="center" wrapText="1"/>
      <protection/>
    </xf>
    <xf numFmtId="182" fontId="6" fillId="38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7" xfId="54" applyFont="1" applyFill="1" applyBorder="1" applyAlignment="1" applyProtection="1">
      <alignment horizontal="center" vertical="center" wrapText="1"/>
      <protection/>
    </xf>
    <xf numFmtId="0" fontId="25" fillId="13" borderId="19" xfId="54" applyFont="1" applyFill="1" applyBorder="1" applyAlignment="1" applyProtection="1">
      <alignment horizontal="center" vertical="center" wrapText="1"/>
      <protection/>
    </xf>
    <xf numFmtId="0" fontId="25" fillId="13" borderId="17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0" fontId="25" fillId="0" borderId="21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0" fontId="7" fillId="0" borderId="0" xfId="54" applyFont="1" applyAlignment="1" applyProtection="1">
      <alignment horizontal="right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center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182" fontId="6" fillId="40" borderId="13" xfId="0" applyNumberFormat="1" applyFont="1" applyFill="1" applyBorder="1" applyAlignment="1" applyProtection="1">
      <alignment horizontal="center" vertical="center" wrapText="1"/>
      <protection/>
    </xf>
    <xf numFmtId="182" fontId="6" fillId="4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 vertical="center"/>
      <protection/>
    </xf>
    <xf numFmtId="0" fontId="3" fillId="0" borderId="0" xfId="54" applyFont="1" applyAlignment="1" applyProtection="1">
      <alignment horizontal="center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7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чік на 06.10"/>
      <sheetName val="очік на 13.09.16"/>
      <sheetName val="очікувані"/>
      <sheetName val="трансгаз"/>
      <sheetName val="лисаки"/>
      <sheetName val="22012500"/>
      <sheetName val="очік на  ост квітень"/>
      <sheetName val="180000"/>
      <sheetName val="ЧТК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220804"/>
      <sheetName val="очік на кредит"/>
      <sheetName val="очік-03"/>
      <sheetName val="депозит"/>
      <sheetName val="надх"/>
      <sheetName val="залишки  (2)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кредити"/>
      <sheetName val="повер ПДФО"/>
      <sheetName val="2111 з 2003р"/>
      <sheetName val="2105"/>
      <sheetName val="пайова 2013-2015 10 міс"/>
      <sheetName val="земля"/>
      <sheetName val="Фонтан Сіті"/>
    </sheetNames>
    <sheetDataSet>
      <sheetData sheetId="23">
        <row r="6">
          <cell r="G6">
            <v>7072666.53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03"/>
  <sheetViews>
    <sheetView tabSelected="1" zoomScale="78" zoomScaleNormal="78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4" sqref="D9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13" t="s">
        <v>214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92"/>
      <c r="S1" s="93"/>
    </row>
    <row r="2" spans="2:19" s="1" customFormat="1" ht="15.75" customHeight="1">
      <c r="B2" s="414"/>
      <c r="C2" s="414"/>
      <c r="D2" s="414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15"/>
      <c r="B3" s="417"/>
      <c r="C3" s="418" t="s">
        <v>0</v>
      </c>
      <c r="D3" s="419" t="s">
        <v>121</v>
      </c>
      <c r="E3" s="34"/>
      <c r="F3" s="420" t="s">
        <v>26</v>
      </c>
      <c r="G3" s="421"/>
      <c r="H3" s="421"/>
      <c r="I3" s="421"/>
      <c r="J3" s="422"/>
      <c r="K3" s="89"/>
      <c r="L3" s="89"/>
      <c r="M3" s="89"/>
      <c r="N3" s="423" t="s">
        <v>208</v>
      </c>
      <c r="O3" s="426" t="s">
        <v>209</v>
      </c>
      <c r="P3" s="426"/>
      <c r="Q3" s="426"/>
      <c r="R3" s="426"/>
      <c r="S3" s="426"/>
    </row>
    <row r="4" spans="1:19" ht="22.5" customHeight="1">
      <c r="A4" s="415"/>
      <c r="B4" s="417"/>
      <c r="C4" s="418"/>
      <c r="D4" s="419"/>
      <c r="E4" s="427" t="s">
        <v>210</v>
      </c>
      <c r="F4" s="429" t="s">
        <v>34</v>
      </c>
      <c r="G4" s="431" t="s">
        <v>211</v>
      </c>
      <c r="H4" s="424" t="s">
        <v>212</v>
      </c>
      <c r="I4" s="431" t="s">
        <v>122</v>
      </c>
      <c r="J4" s="424" t="s">
        <v>123</v>
      </c>
      <c r="K4" s="91" t="s">
        <v>186</v>
      </c>
      <c r="L4" s="249" t="s">
        <v>185</v>
      </c>
      <c r="M4" s="96" t="s">
        <v>64</v>
      </c>
      <c r="N4" s="424"/>
      <c r="O4" s="433" t="s">
        <v>215</v>
      </c>
      <c r="P4" s="431" t="s">
        <v>50</v>
      </c>
      <c r="Q4" s="435" t="s">
        <v>49</v>
      </c>
      <c r="R4" s="97" t="s">
        <v>65</v>
      </c>
      <c r="S4" s="98" t="s">
        <v>64</v>
      </c>
    </row>
    <row r="5" spans="1:19" ht="67.5" customHeight="1">
      <c r="A5" s="416"/>
      <c r="B5" s="417"/>
      <c r="C5" s="418"/>
      <c r="D5" s="419"/>
      <c r="E5" s="428"/>
      <c r="F5" s="430"/>
      <c r="G5" s="432"/>
      <c r="H5" s="425"/>
      <c r="I5" s="432"/>
      <c r="J5" s="425"/>
      <c r="K5" s="436" t="s">
        <v>213</v>
      </c>
      <c r="L5" s="437"/>
      <c r="M5" s="438"/>
      <c r="N5" s="425"/>
      <c r="O5" s="434"/>
      <c r="P5" s="432"/>
      <c r="Q5" s="435"/>
      <c r="R5" s="436" t="s">
        <v>120</v>
      </c>
      <c r="S5" s="438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957071.4500000001</v>
      </c>
      <c r="E8" s="191">
        <f>E9+E15+E18+E19+E20+E37+E17</f>
        <v>795675.9299999999</v>
      </c>
      <c r="F8" s="191">
        <f>F9+F15+F18+F19+F20+F37+F17</f>
        <v>790985.86</v>
      </c>
      <c r="G8" s="191">
        <f aca="true" t="shared" si="0" ref="G8:G37">F8-E8</f>
        <v>-4690.069999999949</v>
      </c>
      <c r="H8" s="192">
        <f>F8/E8*100</f>
        <v>99.4105552495474</v>
      </c>
      <c r="I8" s="193">
        <f>F8-D8</f>
        <v>-166085.59000000008</v>
      </c>
      <c r="J8" s="193">
        <f>F8/D8*100</f>
        <v>82.64647952877499</v>
      </c>
      <c r="K8" s="191">
        <v>542586.23</v>
      </c>
      <c r="L8" s="191">
        <f aca="true" t="shared" si="1" ref="L8:L51">F8-K8</f>
        <v>248399.63</v>
      </c>
      <c r="M8" s="250">
        <f aca="true" t="shared" si="2" ref="M8:M28">F8/K8</f>
        <v>1.4578067342401964</v>
      </c>
      <c r="N8" s="191">
        <f>N9+N15+N18+N19+N20+N17</f>
        <v>89825.12</v>
      </c>
      <c r="O8" s="191">
        <f>O9+O15+O18+O19+O20+O17</f>
        <v>82947.19000000002</v>
      </c>
      <c r="P8" s="191">
        <f>O8-N8</f>
        <v>-6877.9299999999785</v>
      </c>
      <c r="Q8" s="191">
        <f>O8/N8*100</f>
        <v>92.34297710929863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v>429123.67</v>
      </c>
      <c r="F9" s="196">
        <v>426517.25</v>
      </c>
      <c r="G9" s="190">
        <f t="shared" si="0"/>
        <v>-2606.4199999999837</v>
      </c>
      <c r="H9" s="197">
        <f>F9/E9*100</f>
        <v>99.39261798352909</v>
      </c>
      <c r="I9" s="198">
        <f>F9-D9</f>
        <v>-104071.75</v>
      </c>
      <c r="J9" s="198">
        <f>F9/D9*100</f>
        <v>80.38561862383126</v>
      </c>
      <c r="K9" s="412">
        <v>296275.33</v>
      </c>
      <c r="L9" s="199">
        <f t="shared" si="1"/>
        <v>130241.91999999998</v>
      </c>
      <c r="M9" s="251">
        <f t="shared" si="2"/>
        <v>1.439597586474716</v>
      </c>
      <c r="N9" s="197">
        <f>E9-вересень!E9</f>
        <v>50045</v>
      </c>
      <c r="O9" s="200">
        <f>F9-вересень!F9</f>
        <v>41190.840000000026</v>
      </c>
      <c r="P9" s="201">
        <f>O9-N9</f>
        <v>-8854.159999999974</v>
      </c>
      <c r="Q9" s="198">
        <f>O9/N9*100</f>
        <v>82.30760315715861</v>
      </c>
      <c r="R9" s="106"/>
      <c r="S9" s="107"/>
      <c r="T9" s="186">
        <f>D9-E9</f>
        <v>101465.33000000002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386150.24</v>
      </c>
      <c r="F10" s="171">
        <v>374892.7</v>
      </c>
      <c r="G10" s="109">
        <f t="shared" si="0"/>
        <v>-11257.539999999979</v>
      </c>
      <c r="H10" s="32">
        <f aca="true" t="shared" si="3" ref="H10:H36">F10/E10*100</f>
        <v>97.08467357161295</v>
      </c>
      <c r="I10" s="110">
        <f aca="true" t="shared" si="4" ref="I10:I37">F10-D10</f>
        <v>-110316.29999999999</v>
      </c>
      <c r="J10" s="110">
        <f aca="true" t="shared" si="5" ref="J10:J36">F10/D10*100</f>
        <v>77.26416863660815</v>
      </c>
      <c r="K10" s="112">
        <v>262635.28</v>
      </c>
      <c r="L10" s="112">
        <f t="shared" si="1"/>
        <v>112257.41999999998</v>
      </c>
      <c r="M10" s="252">
        <f t="shared" si="2"/>
        <v>1.4274270387436143</v>
      </c>
      <c r="N10" s="111">
        <f>E10-вересень!E10</f>
        <v>47580</v>
      </c>
      <c r="O10" s="179">
        <f>F10-вересень!F10</f>
        <v>35623.65000000002</v>
      </c>
      <c r="P10" s="112">
        <f aca="true" t="shared" si="6" ref="P10:P37">O10-N10</f>
        <v>-11956.349999999977</v>
      </c>
      <c r="Q10" s="198">
        <f aca="true" t="shared" si="7" ref="Q10:Q16">O10/N10*100</f>
        <v>74.8710592686003</v>
      </c>
      <c r="R10" s="42"/>
      <c r="S10" s="100"/>
      <c r="T10" s="186">
        <f aca="true" t="shared" si="8" ref="T10:T73">D10-E10</f>
        <v>99058.76000000001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22814.94</v>
      </c>
      <c r="F11" s="171">
        <v>32618.62</v>
      </c>
      <c r="G11" s="109">
        <f t="shared" si="0"/>
        <v>9803.68</v>
      </c>
      <c r="H11" s="32">
        <f t="shared" si="3"/>
        <v>142.9704395453155</v>
      </c>
      <c r="I11" s="110">
        <f t="shared" si="4"/>
        <v>9618.619999999999</v>
      </c>
      <c r="J11" s="110">
        <f t="shared" si="5"/>
        <v>141.82008695652172</v>
      </c>
      <c r="K11" s="112">
        <v>15809.05</v>
      </c>
      <c r="L11" s="112">
        <f t="shared" si="1"/>
        <v>16809.57</v>
      </c>
      <c r="M11" s="252">
        <f t="shared" si="2"/>
        <v>2.0632878003422093</v>
      </c>
      <c r="N11" s="111">
        <f>E11-вересень!E11</f>
        <v>1300</v>
      </c>
      <c r="O11" s="179">
        <f>F11-вересень!F11</f>
        <v>4121.149999999998</v>
      </c>
      <c r="P11" s="112">
        <f t="shared" si="6"/>
        <v>2821.149999999998</v>
      </c>
      <c r="Q11" s="198">
        <f t="shared" si="7"/>
        <v>317.0115384615383</v>
      </c>
      <c r="R11" s="42"/>
      <c r="S11" s="100"/>
      <c r="T11" s="186">
        <f t="shared" si="8"/>
        <v>185.0600000000013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6380.61</v>
      </c>
      <c r="F12" s="171">
        <v>7945.65</v>
      </c>
      <c r="G12" s="109">
        <f t="shared" si="0"/>
        <v>1565.04</v>
      </c>
      <c r="H12" s="32">
        <f t="shared" si="3"/>
        <v>124.52806236394326</v>
      </c>
      <c r="I12" s="110">
        <f t="shared" si="4"/>
        <v>1445.6499999999996</v>
      </c>
      <c r="J12" s="110">
        <f t="shared" si="5"/>
        <v>122.24076923076923</v>
      </c>
      <c r="K12" s="112">
        <v>4169.14</v>
      </c>
      <c r="L12" s="112">
        <f t="shared" si="1"/>
        <v>3776.5099999999993</v>
      </c>
      <c r="M12" s="252">
        <f t="shared" si="2"/>
        <v>1.9058247024566215</v>
      </c>
      <c r="N12" s="111">
        <f>E12-вересень!E12</f>
        <v>500</v>
      </c>
      <c r="O12" s="179">
        <f>F12-вересень!F12</f>
        <v>535.9299999999994</v>
      </c>
      <c r="P12" s="112">
        <f t="shared" si="6"/>
        <v>35.92999999999938</v>
      </c>
      <c r="Q12" s="198">
        <f t="shared" si="7"/>
        <v>107.18599999999986</v>
      </c>
      <c r="R12" s="42"/>
      <c r="S12" s="100"/>
      <c r="T12" s="186">
        <f t="shared" si="8"/>
        <v>119.39000000000033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10314.84</v>
      </c>
      <c r="F13" s="171">
        <v>8316.3</v>
      </c>
      <c r="G13" s="109">
        <f t="shared" si="0"/>
        <v>-1998.5400000000009</v>
      </c>
      <c r="H13" s="32">
        <f t="shared" si="3"/>
        <v>80.62461463289785</v>
      </c>
      <c r="I13" s="110">
        <f t="shared" si="4"/>
        <v>-4083.7000000000007</v>
      </c>
      <c r="J13" s="110">
        <f t="shared" si="5"/>
        <v>67.06693548387096</v>
      </c>
      <c r="K13" s="112">
        <v>6098.87</v>
      </c>
      <c r="L13" s="112">
        <f t="shared" si="1"/>
        <v>2217.4299999999994</v>
      </c>
      <c r="M13" s="252">
        <f t="shared" si="2"/>
        <v>1.3635804665454418</v>
      </c>
      <c r="N13" s="111">
        <f>E13-вересень!E13</f>
        <v>650</v>
      </c>
      <c r="O13" s="179">
        <f>F13-вересень!F13</f>
        <v>805.0499999999993</v>
      </c>
      <c r="P13" s="112">
        <f t="shared" si="6"/>
        <v>155.04999999999927</v>
      </c>
      <c r="Q13" s="198">
        <f t="shared" si="7"/>
        <v>123.85384615384605</v>
      </c>
      <c r="R13" s="42"/>
      <c r="S13" s="100"/>
      <c r="T13" s="186">
        <f t="shared" si="8"/>
        <v>2085.16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3463.04</v>
      </c>
      <c r="F14" s="171">
        <v>2743.99</v>
      </c>
      <c r="G14" s="109">
        <f t="shared" si="0"/>
        <v>-719.0500000000002</v>
      </c>
      <c r="H14" s="32">
        <f t="shared" si="3"/>
        <v>79.23645121049712</v>
      </c>
      <c r="I14" s="110">
        <f t="shared" si="4"/>
        <v>-736.0100000000002</v>
      </c>
      <c r="J14" s="110">
        <f t="shared" si="5"/>
        <v>78.85028735632183</v>
      </c>
      <c r="K14" s="112">
        <v>7562.97</v>
      </c>
      <c r="L14" s="112">
        <f t="shared" si="1"/>
        <v>-4818.9800000000005</v>
      </c>
      <c r="M14" s="252">
        <f t="shared" si="2"/>
        <v>0.3628191041350157</v>
      </c>
      <c r="N14" s="111">
        <f>E14-вересень!E14</f>
        <v>15</v>
      </c>
      <c r="O14" s="179">
        <f>F14-вересень!F14</f>
        <v>105.07999999999993</v>
      </c>
      <c r="P14" s="112">
        <f t="shared" si="6"/>
        <v>90.07999999999993</v>
      </c>
      <c r="Q14" s="198">
        <f t="shared" si="7"/>
        <v>700.5333333333328</v>
      </c>
      <c r="R14" s="42"/>
      <c r="S14" s="100"/>
      <c r="T14" s="186">
        <f t="shared" si="8"/>
        <v>16.960000000000036</v>
      </c>
      <c r="U14" s="273">
        <v>2880</v>
      </c>
      <c r="V14" s="186">
        <f>U14-T14</f>
        <v>2863.04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380</v>
      </c>
      <c r="F15" s="196">
        <v>386.82</v>
      </c>
      <c r="G15" s="190">
        <f t="shared" si="0"/>
        <v>6.819999999999993</v>
      </c>
      <c r="H15" s="197">
        <f>F15/E15*100</f>
        <v>101.79473684210527</v>
      </c>
      <c r="I15" s="198">
        <f t="shared" si="4"/>
        <v>-113.18</v>
      </c>
      <c r="J15" s="198">
        <f t="shared" si="5"/>
        <v>77.364</v>
      </c>
      <c r="K15" s="201">
        <v>-590.87</v>
      </c>
      <c r="L15" s="201">
        <f t="shared" si="1"/>
        <v>977.69</v>
      </c>
      <c r="M15" s="253">
        <f t="shared" si="2"/>
        <v>-0.6546617699324725</v>
      </c>
      <c r="N15" s="197">
        <f>E15-вересень!E15</f>
        <v>10</v>
      </c>
      <c r="O15" s="200">
        <f>F15-вересень!F15</f>
        <v>0</v>
      </c>
      <c r="P15" s="201">
        <f t="shared" si="6"/>
        <v>-10</v>
      </c>
      <c r="Q15" s="198">
        <f t="shared" si="7"/>
        <v>0</v>
      </c>
      <c r="R15" s="42"/>
      <c r="S15" s="100"/>
      <c r="T15" s="186">
        <f t="shared" si="8"/>
        <v>120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E16-вересень!E16</f>
        <v>0</v>
      </c>
      <c r="O16" s="200">
        <f>F16-вересень!F16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204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0.14</v>
      </c>
      <c r="L17" s="201">
        <f t="shared" si="1"/>
        <v>0.03</v>
      </c>
      <c r="M17" s="253">
        <f t="shared" si="2"/>
        <v>1.2142857142857142</v>
      </c>
      <c r="N17" s="197">
        <f>E17-вересень!E17</f>
        <v>0</v>
      </c>
      <c r="O17" s="200">
        <f>F17-вересень!F17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205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E18-вересень!E18</f>
        <v>0</v>
      </c>
      <c r="O18" s="200">
        <f>F18-вересень!F18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90960.4</v>
      </c>
      <c r="F19" s="196">
        <v>83269.59</v>
      </c>
      <c r="G19" s="190">
        <f t="shared" si="0"/>
        <v>-7690.809999999998</v>
      </c>
      <c r="H19" s="197">
        <f t="shared" si="3"/>
        <v>91.54488106912459</v>
      </c>
      <c r="I19" s="198">
        <f t="shared" si="4"/>
        <v>-26630.410000000003</v>
      </c>
      <c r="J19" s="198">
        <f t="shared" si="5"/>
        <v>75.76850773430391</v>
      </c>
      <c r="K19" s="209">
        <v>58485.05</v>
      </c>
      <c r="L19" s="201">
        <f t="shared" si="1"/>
        <v>24784.539999999994</v>
      </c>
      <c r="M19" s="259">
        <f t="shared" si="2"/>
        <v>1.4237756486486717</v>
      </c>
      <c r="N19" s="197">
        <f>E19-вересень!E19</f>
        <v>10900</v>
      </c>
      <c r="O19" s="200">
        <f>F19-вересень!F19</f>
        <v>8916.789999999994</v>
      </c>
      <c r="P19" s="201">
        <f t="shared" si="6"/>
        <v>-1983.2100000000064</v>
      </c>
      <c r="Q19" s="198">
        <f aca="true" t="shared" si="9" ref="Q19:Q24">O19/N19*100</f>
        <v>81.80541284403664</v>
      </c>
      <c r="R19" s="113"/>
      <c r="S19" s="114"/>
      <c r="T19" s="186">
        <f t="shared" si="8"/>
        <v>18939.600000000006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315976.65</v>
      </c>
      <c r="E20" s="190">
        <f>E21+E30+E32+E29</f>
        <v>275106.06</v>
      </c>
      <c r="F20" s="272">
        <f>F21+F29+F30+F31+F32</f>
        <v>280706.23</v>
      </c>
      <c r="G20" s="190">
        <f t="shared" si="0"/>
        <v>5600.169999999984</v>
      </c>
      <c r="H20" s="197">
        <f t="shared" si="3"/>
        <v>102.03564036357469</v>
      </c>
      <c r="I20" s="198">
        <f t="shared" si="4"/>
        <v>-35270.42000000004</v>
      </c>
      <c r="J20" s="198">
        <f t="shared" si="5"/>
        <v>88.83764987064707</v>
      </c>
      <c r="K20" s="198">
        <v>182815.03</v>
      </c>
      <c r="L20" s="201">
        <f t="shared" si="1"/>
        <v>97891.19999999998</v>
      </c>
      <c r="M20" s="254">
        <f t="shared" si="2"/>
        <v>1.5354658202884084</v>
      </c>
      <c r="N20" s="197">
        <f>N21+N30+N31+N32</f>
        <v>28870.120000000003</v>
      </c>
      <c r="O20" s="200">
        <f>F20-вересень!F20</f>
        <v>32839.56</v>
      </c>
      <c r="P20" s="201">
        <f t="shared" si="6"/>
        <v>3969.439999999995</v>
      </c>
      <c r="Q20" s="198">
        <f t="shared" si="9"/>
        <v>113.74930204654498</v>
      </c>
      <c r="R20" s="113"/>
      <c r="S20" s="114"/>
      <c r="T20" s="186">
        <f t="shared" si="8"/>
        <v>40870.590000000026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149443.41</v>
      </c>
      <c r="F21" s="211">
        <f>F22+F25+F26</f>
        <v>153231.48</v>
      </c>
      <c r="G21" s="190">
        <f t="shared" si="0"/>
        <v>3788.070000000007</v>
      </c>
      <c r="H21" s="197">
        <f t="shared" si="3"/>
        <v>102.53478557535591</v>
      </c>
      <c r="I21" s="198">
        <f t="shared" si="4"/>
        <v>-21668.169999999984</v>
      </c>
      <c r="J21" s="198">
        <f t="shared" si="5"/>
        <v>87.61108441326213</v>
      </c>
      <c r="K21" s="198">
        <v>100774.79</v>
      </c>
      <c r="L21" s="201">
        <f t="shared" si="1"/>
        <v>52456.69000000002</v>
      </c>
      <c r="M21" s="254">
        <f t="shared" si="2"/>
        <v>1.520533855739119</v>
      </c>
      <c r="N21" s="197">
        <f>N22+N25+N26</f>
        <v>15362.620000000003</v>
      </c>
      <c r="O21" s="200">
        <f>F21-вересень!F21</f>
        <v>17415.670000000013</v>
      </c>
      <c r="P21" s="201">
        <f t="shared" si="6"/>
        <v>2053.05000000001</v>
      </c>
      <c r="Q21" s="198">
        <f t="shared" si="9"/>
        <v>113.36393141274085</v>
      </c>
      <c r="R21" s="113"/>
      <c r="S21" s="114"/>
      <c r="T21" s="186">
        <f t="shared" si="8"/>
        <v>25456.23999999999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17324.4</v>
      </c>
      <c r="F22" s="213">
        <v>20161.44</v>
      </c>
      <c r="G22" s="212">
        <f t="shared" si="0"/>
        <v>2837.0399999999972</v>
      </c>
      <c r="H22" s="214">
        <f t="shared" si="3"/>
        <v>116.37597838886194</v>
      </c>
      <c r="I22" s="215">
        <f t="shared" si="4"/>
        <v>1661.4399999999987</v>
      </c>
      <c r="J22" s="215">
        <f t="shared" si="5"/>
        <v>108.98075675675676</v>
      </c>
      <c r="K22" s="216">
        <v>12486.13</v>
      </c>
      <c r="L22" s="206">
        <f t="shared" si="1"/>
        <v>7675.3099999999995</v>
      </c>
      <c r="M22" s="262">
        <f t="shared" si="2"/>
        <v>1.614706878752664</v>
      </c>
      <c r="N22" s="214">
        <f>E22-вересень!E22</f>
        <v>2199.920000000002</v>
      </c>
      <c r="O22" s="217">
        <f>F22-вересень!F22</f>
        <v>4402.619999999999</v>
      </c>
      <c r="P22" s="218">
        <f t="shared" si="6"/>
        <v>2202.699999999997</v>
      </c>
      <c r="Q22" s="215">
        <f t="shared" si="9"/>
        <v>200.12636823157183</v>
      </c>
      <c r="R22" s="113"/>
      <c r="S22" s="114"/>
      <c r="T22" s="186">
        <f t="shared" si="8"/>
        <v>1175.5999999999985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1224.4</v>
      </c>
      <c r="F23" s="203">
        <v>791.43</v>
      </c>
      <c r="G23" s="241">
        <f t="shared" si="0"/>
        <v>-432.97000000000014</v>
      </c>
      <c r="H23" s="242">
        <f t="shared" si="3"/>
        <v>64.63819013394316</v>
      </c>
      <c r="I23" s="243">
        <f t="shared" si="4"/>
        <v>-1208.5700000000002</v>
      </c>
      <c r="J23" s="243">
        <f t="shared" si="5"/>
        <v>39.5715</v>
      </c>
      <c r="K23" s="261">
        <v>666.58</v>
      </c>
      <c r="L23" s="261">
        <f t="shared" si="1"/>
        <v>124.84999999999991</v>
      </c>
      <c r="M23" s="263">
        <f t="shared" si="2"/>
        <v>1.187299348915359</v>
      </c>
      <c r="N23" s="239">
        <f>E23-вересень!E23</f>
        <v>200</v>
      </c>
      <c r="O23" s="239">
        <f>F23-вересень!F23</f>
        <v>122.57999999999993</v>
      </c>
      <c r="P23" s="240">
        <f t="shared" si="6"/>
        <v>-77.42000000000007</v>
      </c>
      <c r="Q23" s="240">
        <f t="shared" si="9"/>
        <v>61.289999999999964</v>
      </c>
      <c r="R23" s="113"/>
      <c r="S23" s="114"/>
      <c r="T23" s="186">
        <f t="shared" si="8"/>
        <v>775.5999999999999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16100</v>
      </c>
      <c r="F24" s="203">
        <v>19370.02</v>
      </c>
      <c r="G24" s="241">
        <f t="shared" si="0"/>
        <v>3270.0200000000004</v>
      </c>
      <c r="H24" s="242">
        <f t="shared" si="3"/>
        <v>120.31068322981366</v>
      </c>
      <c r="I24" s="243">
        <f t="shared" si="4"/>
        <v>2870.0200000000004</v>
      </c>
      <c r="J24" s="243">
        <f t="shared" si="5"/>
        <v>117.3940606060606</v>
      </c>
      <c r="K24" s="261">
        <v>11819.55</v>
      </c>
      <c r="L24" s="261">
        <f t="shared" si="1"/>
        <v>7550.470000000001</v>
      </c>
      <c r="M24" s="263">
        <f t="shared" si="2"/>
        <v>1.6388119683067461</v>
      </c>
      <c r="N24" s="239">
        <f>E24-вересень!E24</f>
        <v>1999.92</v>
      </c>
      <c r="O24" s="239">
        <f>F24-вересень!F24</f>
        <v>4280.050000000001</v>
      </c>
      <c r="P24" s="240">
        <f t="shared" si="6"/>
        <v>2280.130000000001</v>
      </c>
      <c r="Q24" s="240">
        <f t="shared" si="9"/>
        <v>214.01106044241774</v>
      </c>
      <c r="R24" s="113"/>
      <c r="S24" s="114"/>
      <c r="T24" s="186">
        <f t="shared" si="8"/>
        <v>400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980.04</v>
      </c>
      <c r="F25" s="213">
        <v>810.29</v>
      </c>
      <c r="G25" s="212">
        <f t="shared" si="0"/>
        <v>-169.75</v>
      </c>
      <c r="H25" s="214">
        <f t="shared" si="3"/>
        <v>82.67927839680013</v>
      </c>
      <c r="I25" s="215">
        <f t="shared" si="4"/>
        <v>-189.71000000000004</v>
      </c>
      <c r="J25" s="215">
        <f t="shared" si="5"/>
        <v>81.029</v>
      </c>
      <c r="K25" s="215">
        <v>3493.96</v>
      </c>
      <c r="L25" s="215">
        <f t="shared" si="1"/>
        <v>-2683.67</v>
      </c>
      <c r="M25" s="257">
        <f t="shared" si="2"/>
        <v>0.2319116418047144</v>
      </c>
      <c r="N25" s="214">
        <f>E25-вересень!E25</f>
        <v>52.69999999999993</v>
      </c>
      <c r="O25" s="217">
        <f>F25-вересень!F25</f>
        <v>32.94999999999993</v>
      </c>
      <c r="P25" s="218">
        <f t="shared" si="6"/>
        <v>-19.75</v>
      </c>
      <c r="Q25" s="215"/>
      <c r="R25" s="113"/>
      <c r="S25" s="114"/>
      <c r="T25" s="186">
        <f t="shared" si="8"/>
        <v>19.960000000000036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131138.97</v>
      </c>
      <c r="F26" s="213">
        <v>132259.75</v>
      </c>
      <c r="G26" s="212">
        <f t="shared" si="0"/>
        <v>1120.7799999999988</v>
      </c>
      <c r="H26" s="214">
        <f t="shared" si="3"/>
        <v>100.85465060462195</v>
      </c>
      <c r="I26" s="215">
        <f t="shared" si="4"/>
        <v>-23139.899999999994</v>
      </c>
      <c r="J26" s="215">
        <f t="shared" si="5"/>
        <v>85.10942592213046</v>
      </c>
      <c r="K26" s="216">
        <v>84794.7</v>
      </c>
      <c r="L26" s="216">
        <f t="shared" si="1"/>
        <v>47465.05</v>
      </c>
      <c r="M26" s="256">
        <f t="shared" si="2"/>
        <v>1.559764348479327</v>
      </c>
      <c r="N26" s="214">
        <f>E26-вересень!E26</f>
        <v>13110</v>
      </c>
      <c r="O26" s="217">
        <f>F26-вересень!F26</f>
        <v>12980.100000000006</v>
      </c>
      <c r="P26" s="218">
        <f t="shared" si="6"/>
        <v>-129.89999999999418</v>
      </c>
      <c r="Q26" s="215">
        <f>O26/N26*100</f>
        <v>99.00915331807785</v>
      </c>
      <c r="R26" s="113"/>
      <c r="S26" s="114"/>
      <c r="T26" s="186">
        <f t="shared" si="8"/>
        <v>24260.679999999993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40401.8</v>
      </c>
      <c r="F27" s="203">
        <v>41889.36</v>
      </c>
      <c r="G27" s="241">
        <f t="shared" si="0"/>
        <v>1487.5599999999977</v>
      </c>
      <c r="H27" s="242">
        <f t="shared" si="3"/>
        <v>103.68191516219574</v>
      </c>
      <c r="I27" s="243">
        <f t="shared" si="4"/>
        <v>-5477.639999999999</v>
      </c>
      <c r="J27" s="243">
        <f t="shared" si="5"/>
        <v>88.4357464057255</v>
      </c>
      <c r="K27" s="261">
        <v>22986.34</v>
      </c>
      <c r="L27" s="261">
        <f t="shared" si="1"/>
        <v>18903.02</v>
      </c>
      <c r="M27" s="263">
        <f t="shared" si="2"/>
        <v>1.8223588444267333</v>
      </c>
      <c r="N27" s="239">
        <f>E27-вересень!E27</f>
        <v>3520</v>
      </c>
      <c r="O27" s="239">
        <f>F27-вересень!F27</f>
        <v>3893.239999999998</v>
      </c>
      <c r="P27" s="240">
        <f t="shared" si="6"/>
        <v>373.23999999999796</v>
      </c>
      <c r="Q27" s="240">
        <f>O27/N27*100</f>
        <v>110.60340909090904</v>
      </c>
      <c r="R27" s="113"/>
      <c r="S27" s="114"/>
      <c r="T27" s="186">
        <f t="shared" si="8"/>
        <v>6965.199999999997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90737.17</v>
      </c>
      <c r="F28" s="203">
        <v>90370.39</v>
      </c>
      <c r="G28" s="241">
        <f t="shared" si="0"/>
        <v>-366.77999999999884</v>
      </c>
      <c r="H28" s="242">
        <f t="shared" si="3"/>
        <v>99.59577756282239</v>
      </c>
      <c r="I28" s="243">
        <f t="shared" si="4"/>
        <v>-17662.259999999995</v>
      </c>
      <c r="J28" s="243">
        <f t="shared" si="5"/>
        <v>83.65099810103706</v>
      </c>
      <c r="K28" s="261">
        <v>61808.36</v>
      </c>
      <c r="L28" s="261">
        <f t="shared" si="1"/>
        <v>28562.03</v>
      </c>
      <c r="M28" s="263">
        <f t="shared" si="2"/>
        <v>1.4621062587649956</v>
      </c>
      <c r="N28" s="239">
        <f>E28-вересень!E28</f>
        <v>9590</v>
      </c>
      <c r="O28" s="239">
        <f>F28-вересень!F28</f>
        <v>9086.869999999995</v>
      </c>
      <c r="P28" s="240">
        <f t="shared" si="6"/>
        <v>-503.13000000000466</v>
      </c>
      <c r="Q28" s="240">
        <f>O28/N28*100</f>
        <v>94.75359749739307</v>
      </c>
      <c r="R28" s="113"/>
      <c r="S28" s="114"/>
      <c r="T28" s="186">
        <f t="shared" si="8"/>
        <v>17295.479999999996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197">
        <f>E29-вересень!E29</f>
        <v>0</v>
      </c>
      <c r="O29" s="200">
        <f>F29-вересень!F29</f>
        <v>0</v>
      </c>
      <c r="P29" s="201">
        <f t="shared" si="6"/>
        <v>0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62.81</v>
      </c>
      <c r="F30" s="196">
        <v>96.18</v>
      </c>
      <c r="G30" s="190">
        <f t="shared" si="0"/>
        <v>33.370000000000005</v>
      </c>
      <c r="H30" s="197">
        <f t="shared" si="3"/>
        <v>153.1284827256806</v>
      </c>
      <c r="I30" s="198">
        <f t="shared" si="4"/>
        <v>19.180000000000007</v>
      </c>
      <c r="J30" s="198">
        <f t="shared" si="5"/>
        <v>124.90909090909092</v>
      </c>
      <c r="K30" s="198">
        <v>60.64</v>
      </c>
      <c r="L30" s="198">
        <f t="shared" si="1"/>
        <v>35.540000000000006</v>
      </c>
      <c r="M30" s="255">
        <f>F30/K30</f>
        <v>1.5860817941952507</v>
      </c>
      <c r="N30" s="197">
        <f>E30-вересень!E30</f>
        <v>7.5</v>
      </c>
      <c r="O30" s="200">
        <f>F30-вересень!F30</f>
        <v>8.230000000000004</v>
      </c>
      <c r="P30" s="201">
        <f t="shared" si="6"/>
        <v>0.730000000000004</v>
      </c>
      <c r="Q30" s="198">
        <f>O30/N30*100</f>
        <v>109.73333333333339</v>
      </c>
      <c r="R30" s="113"/>
      <c r="S30" s="114"/>
      <c r="T30" s="186">
        <f t="shared" si="8"/>
        <v>14.189999999999998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-173.07</v>
      </c>
      <c r="G31" s="190">
        <f t="shared" si="0"/>
        <v>-173.07</v>
      </c>
      <c r="H31" s="197"/>
      <c r="I31" s="198">
        <f t="shared" si="4"/>
        <v>-173.07</v>
      </c>
      <c r="J31" s="198"/>
      <c r="K31" s="198">
        <v>-740.94</v>
      </c>
      <c r="L31" s="198">
        <f t="shared" si="1"/>
        <v>567.8700000000001</v>
      </c>
      <c r="M31" s="255">
        <f>F31/K31</f>
        <v>0.23358166653170295</v>
      </c>
      <c r="N31" s="197">
        <f>E31-вересень!E31</f>
        <v>0</v>
      </c>
      <c r="O31" s="200">
        <f>F31-вересень!F31</f>
        <v>-12.969999999999999</v>
      </c>
      <c r="P31" s="201">
        <f t="shared" si="6"/>
        <v>-12.969999999999999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f>118000+23000</f>
        <v>141000</v>
      </c>
      <c r="E32" s="202">
        <v>125599.84</v>
      </c>
      <c r="F32" s="203">
        <v>127551.49</v>
      </c>
      <c r="G32" s="202">
        <f t="shared" si="0"/>
        <v>1951.6500000000087</v>
      </c>
      <c r="H32" s="204">
        <f t="shared" si="3"/>
        <v>101.55386344441204</v>
      </c>
      <c r="I32" s="205">
        <f t="shared" si="4"/>
        <v>-13448.509999999995</v>
      </c>
      <c r="J32" s="205">
        <f t="shared" si="5"/>
        <v>90.46204964539008</v>
      </c>
      <c r="K32" s="219">
        <v>82720.54</v>
      </c>
      <c r="L32" s="219">
        <f>F32-K32</f>
        <v>44830.95000000001</v>
      </c>
      <c r="M32" s="411">
        <f>F32/K32</f>
        <v>1.5419566893543009</v>
      </c>
      <c r="N32" s="197">
        <f>E32-вересень!E32</f>
        <v>13500</v>
      </c>
      <c r="O32" s="200">
        <f>F32-вересень!F32</f>
        <v>15428.630000000005</v>
      </c>
      <c r="P32" s="207">
        <f t="shared" si="6"/>
        <v>1928.6300000000047</v>
      </c>
      <c r="Q32" s="205">
        <f>O32/N32*100</f>
        <v>114.28614814814819</v>
      </c>
      <c r="R32" s="113"/>
      <c r="S32" s="114"/>
      <c r="T32" s="186">
        <f t="shared" si="8"/>
        <v>15400.160000000003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-1.17</v>
      </c>
      <c r="L33" s="142">
        <f t="shared" si="1"/>
        <v>1.4</v>
      </c>
      <c r="M33" s="264">
        <f aca="true" t="shared" si="10" ref="M33:M39">F33/K33</f>
        <v>-0.1965811965811966</v>
      </c>
      <c r="N33" s="111">
        <f>E33-вересень!E33</f>
        <v>0</v>
      </c>
      <c r="O33" s="179">
        <f>F33-вересень!F33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f>28217+6000</f>
        <v>34217</v>
      </c>
      <c r="E34" s="109">
        <v>30662.97</v>
      </c>
      <c r="F34" s="171">
        <v>31242.1</v>
      </c>
      <c r="G34" s="109">
        <f t="shared" si="0"/>
        <v>579.1299999999974</v>
      </c>
      <c r="H34" s="111">
        <f t="shared" si="3"/>
        <v>101.88869506117639</v>
      </c>
      <c r="I34" s="110">
        <f t="shared" si="4"/>
        <v>-2974.9000000000015</v>
      </c>
      <c r="J34" s="110">
        <f t="shared" si="5"/>
        <v>91.30578367478154</v>
      </c>
      <c r="K34" s="142">
        <v>19963.33</v>
      </c>
      <c r="L34" s="142">
        <f t="shared" si="1"/>
        <v>11278.769999999997</v>
      </c>
      <c r="M34" s="264">
        <f t="shared" si="10"/>
        <v>1.5649743805266956</v>
      </c>
      <c r="N34" s="111">
        <f>E34-вересень!E34</f>
        <v>2300</v>
      </c>
      <c r="O34" s="179">
        <f>F34-вересень!F34</f>
        <v>2901.6899999999987</v>
      </c>
      <c r="P34" s="112">
        <f t="shared" si="6"/>
        <v>601.6899999999987</v>
      </c>
      <c r="Q34" s="110">
        <f>O34/N34*100</f>
        <v>126.16043478260863</v>
      </c>
      <c r="R34" s="113"/>
      <c r="S34" s="114"/>
      <c r="T34" s="186">
        <f t="shared" si="8"/>
        <v>3554.029999999999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f>89732+17000</f>
        <v>106732</v>
      </c>
      <c r="E35" s="109">
        <v>94920.08</v>
      </c>
      <c r="F35" s="171">
        <v>96256.08</v>
      </c>
      <c r="G35" s="109">
        <f t="shared" si="0"/>
        <v>1336</v>
      </c>
      <c r="H35" s="111">
        <f t="shared" si="3"/>
        <v>101.40749986725675</v>
      </c>
      <c r="I35" s="110">
        <f t="shared" si="4"/>
        <v>-10475.919999999998</v>
      </c>
      <c r="J35" s="110">
        <f t="shared" si="5"/>
        <v>90.18483678746769</v>
      </c>
      <c r="K35" s="142">
        <v>62729.49</v>
      </c>
      <c r="L35" s="142">
        <f t="shared" si="1"/>
        <v>33526.590000000004</v>
      </c>
      <c r="M35" s="264">
        <f t="shared" si="10"/>
        <v>1.5344629774608403</v>
      </c>
      <c r="N35" s="111">
        <f>E35-вересень!E35</f>
        <v>11200</v>
      </c>
      <c r="O35" s="179">
        <f>F35-вересень!F35</f>
        <v>12500.279999999999</v>
      </c>
      <c r="P35" s="112">
        <f t="shared" si="6"/>
        <v>1300.2799999999988</v>
      </c>
      <c r="Q35" s="110">
        <f>O35/N35*100</f>
        <v>111.60964285714286</v>
      </c>
      <c r="R35" s="113"/>
      <c r="S35" s="114"/>
      <c r="T35" s="186">
        <f t="shared" si="8"/>
        <v>11811.919999999998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53.08</v>
      </c>
      <c r="G36" s="109">
        <f t="shared" si="0"/>
        <v>36.29</v>
      </c>
      <c r="H36" s="111">
        <f t="shared" si="3"/>
        <v>316.1405598570578</v>
      </c>
      <c r="I36" s="110">
        <f t="shared" si="4"/>
        <v>2.0799999999999983</v>
      </c>
      <c r="J36" s="110">
        <f t="shared" si="5"/>
        <v>104.07843137254902</v>
      </c>
      <c r="K36" s="142">
        <v>28.89</v>
      </c>
      <c r="L36" s="142">
        <f t="shared" si="1"/>
        <v>24.189999999999998</v>
      </c>
      <c r="M36" s="264">
        <f t="shared" si="10"/>
        <v>1.837313949463482</v>
      </c>
      <c r="N36" s="111">
        <f>E36-вересень!E36</f>
        <v>0</v>
      </c>
      <c r="O36" s="179">
        <f>F36-вересень!F36</f>
        <v>26.659999999999997</v>
      </c>
      <c r="P36" s="112">
        <f t="shared" si="6"/>
        <v>26.659999999999997</v>
      </c>
      <c r="Q36" s="110"/>
      <c r="R36" s="113"/>
      <c r="S36" s="114"/>
      <c r="T36" s="186">
        <f t="shared" si="8"/>
        <v>34.21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5585.75</v>
      </c>
      <c r="L37" s="132">
        <f t="shared" si="1"/>
        <v>-5585.75</v>
      </c>
      <c r="M37" s="265">
        <f t="shared" si="10"/>
        <v>0</v>
      </c>
      <c r="N37" s="152">
        <f>E37-вересень!E37</f>
        <v>0</v>
      </c>
      <c r="O37" s="180">
        <f>F37-вересень!F37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61842.48</v>
      </c>
      <c r="E38" s="191">
        <f>E39+E40+E41+E42+E43+E45+E47+E48+E49+E50+E51+E56+E57+E61+E44</f>
        <v>55295.03</v>
      </c>
      <c r="F38" s="191">
        <f>F39+F40+F41+F42+F43+F45+F47+F48+F49+F50+F51+F56+F57+F61+F44</f>
        <v>54981.63999999999</v>
      </c>
      <c r="G38" s="191">
        <f>G39+G40+G41+G42+G43+G45+G47+G48+G49+G50+G51+G56+G57+G61</f>
        <v>-347.33999999999975</v>
      </c>
      <c r="H38" s="192">
        <f>F38/E38*100</f>
        <v>99.43324020260047</v>
      </c>
      <c r="I38" s="193">
        <f>F38-D38</f>
        <v>-6860.840000000011</v>
      </c>
      <c r="J38" s="193">
        <f>F38/D38*100</f>
        <v>88.90594296994556</v>
      </c>
      <c r="K38" s="191">
        <v>35081.67</v>
      </c>
      <c r="L38" s="191">
        <f t="shared" si="1"/>
        <v>19899.969999999994</v>
      </c>
      <c r="M38" s="250">
        <f t="shared" si="10"/>
        <v>1.567246941208899</v>
      </c>
      <c r="N38" s="191">
        <f>N39+N40+N41+N42+N43+N45+N47+N48+N49+N50+N51+N56+N57+N61+N44</f>
        <v>6170</v>
      </c>
      <c r="O38" s="191">
        <f>O39+O40+O41+O42+O43+O45+O47+O48+O49+O50+O51+O56+O57+O61+O44</f>
        <v>5534.749999999998</v>
      </c>
      <c r="P38" s="191">
        <f>P39+P40+P41+P42+P43+P45+P47+P48+P49+P50+P51+P56+P57+P61</f>
        <v>-642.0500000000017</v>
      </c>
      <c r="Q38" s="191">
        <f>O38/N38*100</f>
        <v>89.70421393841164</v>
      </c>
      <c r="R38" s="15" t="e">
        <f>#N/A</f>
        <v>#N/A</v>
      </c>
      <c r="S38" s="15" t="e">
        <f>#N/A</f>
        <v>#N/A</v>
      </c>
      <c r="T38" s="186">
        <f t="shared" si="8"/>
        <v>6547.450000000004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386</v>
      </c>
      <c r="F39" s="196">
        <v>484.63</v>
      </c>
      <c r="G39" s="202">
        <f>F39-E39</f>
        <v>98.63</v>
      </c>
      <c r="H39" s="204">
        <f aca="true" t="shared" si="11" ref="H39:H62">F39/E39*100</f>
        <v>125.5518134715026</v>
      </c>
      <c r="I39" s="205">
        <f>F39-D39</f>
        <v>84.63</v>
      </c>
      <c r="J39" s="205">
        <f>F39/D39*100</f>
        <v>121.15750000000001</v>
      </c>
      <c r="K39" s="205">
        <v>-57.79</v>
      </c>
      <c r="L39" s="205">
        <f t="shared" si="1"/>
        <v>542.42</v>
      </c>
      <c r="M39" s="266">
        <f t="shared" si="10"/>
        <v>-8.38605295033743</v>
      </c>
      <c r="N39" s="204">
        <f>E39-вересень!E39</f>
        <v>3</v>
      </c>
      <c r="O39" s="208">
        <f>F39-вересень!F39</f>
        <v>63.75</v>
      </c>
      <c r="P39" s="207">
        <f>O39-N39</f>
        <v>60.75</v>
      </c>
      <c r="Q39" s="205">
        <f aca="true" t="shared" si="12" ref="Q39:Q62">O39/N39*100</f>
        <v>2125</v>
      </c>
      <c r="R39" s="42"/>
      <c r="S39" s="100"/>
      <c r="T39" s="186">
        <f t="shared" si="8"/>
        <v>14</v>
      </c>
    </row>
    <row r="40" spans="1:20" s="6" customFormat="1" ht="30.75">
      <c r="A40" s="8"/>
      <c r="B40" s="144" t="s">
        <v>80</v>
      </c>
      <c r="C40" s="47">
        <v>21050000</v>
      </c>
      <c r="D40" s="190">
        <f>25000+5007</f>
        <v>30007</v>
      </c>
      <c r="E40" s="190">
        <v>27766</v>
      </c>
      <c r="F40" s="196">
        <v>27670.12</v>
      </c>
      <c r="G40" s="202">
        <f aca="true" t="shared" si="13" ref="G40:G63">F40-E40</f>
        <v>-95.88000000000102</v>
      </c>
      <c r="H40" s="204">
        <f t="shared" si="11"/>
        <v>99.65468558668876</v>
      </c>
      <c r="I40" s="205">
        <f aca="true" t="shared" si="14" ref="I40:I63">F40-D40</f>
        <v>-2336.880000000001</v>
      </c>
      <c r="J40" s="205">
        <f>F40/D40*100</f>
        <v>92.21221714933182</v>
      </c>
      <c r="K40" s="205">
        <v>8434.93</v>
      </c>
      <c r="L40" s="205">
        <f t="shared" si="1"/>
        <v>19235.19</v>
      </c>
      <c r="M40" s="266"/>
      <c r="N40" s="204">
        <f>E40-вересень!E40</f>
        <v>3600</v>
      </c>
      <c r="O40" s="208">
        <f>F40-вересень!F40</f>
        <v>3503.989999999998</v>
      </c>
      <c r="P40" s="207">
        <f aca="true" t="shared" si="15" ref="P40:P63">O40-N40</f>
        <v>-96.01000000000204</v>
      </c>
      <c r="Q40" s="205">
        <f t="shared" si="12"/>
        <v>97.3330555555555</v>
      </c>
      <c r="R40" s="42"/>
      <c r="S40" s="100"/>
      <c r="T40" s="186">
        <f t="shared" si="8"/>
        <v>2241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31.98</v>
      </c>
      <c r="G41" s="202">
        <f t="shared" si="13"/>
        <v>-79.46</v>
      </c>
      <c r="H41" s="204">
        <f t="shared" si="11"/>
        <v>28.697056712132092</v>
      </c>
      <c r="I41" s="205">
        <f t="shared" si="14"/>
        <v>-79.46</v>
      </c>
      <c r="J41" s="205">
        <f aca="true" t="shared" si="16" ref="J41:J62">F41/D41*100</f>
        <v>28.697056712132092</v>
      </c>
      <c r="K41" s="205">
        <v>349.81</v>
      </c>
      <c r="L41" s="205">
        <f t="shared" si="1"/>
        <v>-317.83</v>
      </c>
      <c r="M41" s="266">
        <f aca="true" t="shared" si="17" ref="M41:M63">F41/K41</f>
        <v>0.09142105714530745</v>
      </c>
      <c r="N41" s="204">
        <f>E41-вересень!E41</f>
        <v>0</v>
      </c>
      <c r="O41" s="208">
        <f>F41-вересень!F41</f>
        <v>0</v>
      </c>
      <c r="P41" s="207">
        <f t="shared" si="15"/>
        <v>0</v>
      </c>
      <c r="Q41" s="205"/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E42-вересень!E42</f>
        <v>0</v>
      </c>
      <c r="O42" s="208">
        <f>F42-вересень!F42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100</v>
      </c>
      <c r="F43" s="196">
        <v>207.34</v>
      </c>
      <c r="G43" s="202">
        <f t="shared" si="13"/>
        <v>107.34</v>
      </c>
      <c r="H43" s="204">
        <f t="shared" si="11"/>
        <v>207.34</v>
      </c>
      <c r="I43" s="205">
        <f t="shared" si="14"/>
        <v>57.34</v>
      </c>
      <c r="J43" s="205">
        <f t="shared" si="16"/>
        <v>138.2266666666667</v>
      </c>
      <c r="K43" s="205">
        <v>255.87</v>
      </c>
      <c r="L43" s="205">
        <f t="shared" si="1"/>
        <v>-48.53</v>
      </c>
      <c r="M43" s="266">
        <f t="shared" si="17"/>
        <v>0.8103333724156798</v>
      </c>
      <c r="N43" s="204">
        <f>E43-вересень!E43</f>
        <v>10</v>
      </c>
      <c r="O43" s="208">
        <f>F43-вересень!F43</f>
        <v>10.219999999999999</v>
      </c>
      <c r="P43" s="207">
        <f t="shared" si="15"/>
        <v>0.21999999999999886</v>
      </c>
      <c r="Q43" s="205">
        <f t="shared" si="12"/>
        <v>102.19999999999997</v>
      </c>
      <c r="R43" s="42"/>
      <c r="S43" s="100"/>
      <c r="T43" s="186">
        <f t="shared" si="8"/>
        <v>50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47.95</v>
      </c>
      <c r="G44" s="202">
        <f t="shared" si="13"/>
        <v>33.95</v>
      </c>
      <c r="H44" s="204"/>
      <c r="I44" s="205">
        <f t="shared" si="14"/>
        <v>33.95</v>
      </c>
      <c r="J44" s="205"/>
      <c r="K44" s="205">
        <v>0</v>
      </c>
      <c r="L44" s="205">
        <f t="shared" si="1"/>
        <v>47.95</v>
      </c>
      <c r="M44" s="266" t="e">
        <f t="shared" si="17"/>
        <v>#DIV/0!</v>
      </c>
      <c r="N44" s="204">
        <f>E44-вересень!E44</f>
        <v>0</v>
      </c>
      <c r="O44" s="208">
        <f>F44-вересень!F44</f>
        <v>6.800000000000004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272</v>
      </c>
      <c r="F45" s="196">
        <v>524.62</v>
      </c>
      <c r="G45" s="202">
        <f t="shared" si="13"/>
        <v>252.62</v>
      </c>
      <c r="H45" s="204">
        <f t="shared" si="11"/>
        <v>192.875</v>
      </c>
      <c r="I45" s="205">
        <f t="shared" si="14"/>
        <v>224.62</v>
      </c>
      <c r="J45" s="205">
        <f t="shared" si="16"/>
        <v>174.87333333333333</v>
      </c>
      <c r="K45" s="205">
        <v>0</v>
      </c>
      <c r="L45" s="205">
        <f t="shared" si="1"/>
        <v>524.62</v>
      </c>
      <c r="M45" s="266"/>
      <c r="N45" s="204">
        <f>E45-вересень!E45</f>
        <v>8</v>
      </c>
      <c r="O45" s="208">
        <f>F45-вересень!F45</f>
        <v>95.99000000000001</v>
      </c>
      <c r="P45" s="207">
        <f t="shared" si="15"/>
        <v>87.99000000000001</v>
      </c>
      <c r="Q45" s="205">
        <f t="shared" si="12"/>
        <v>1199.875</v>
      </c>
      <c r="R45" s="42"/>
      <c r="S45" s="100"/>
      <c r="T45" s="186">
        <f t="shared" si="8"/>
        <v>28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E46-вересень!E46</f>
        <v>0</v>
      </c>
      <c r="O46" s="208">
        <f>F46-вересень!F46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8749.02</v>
      </c>
      <c r="F47" s="196">
        <v>8857.6</v>
      </c>
      <c r="G47" s="202">
        <f t="shared" si="13"/>
        <v>108.57999999999993</v>
      </c>
      <c r="H47" s="204">
        <f t="shared" si="11"/>
        <v>101.24105328368205</v>
      </c>
      <c r="I47" s="205">
        <f t="shared" si="14"/>
        <v>-1042.3999999999996</v>
      </c>
      <c r="J47" s="205">
        <f t="shared" si="16"/>
        <v>89.47070707070708</v>
      </c>
      <c r="K47" s="205">
        <v>8383.7</v>
      </c>
      <c r="L47" s="205">
        <f t="shared" si="1"/>
        <v>473.89999999999964</v>
      </c>
      <c r="M47" s="266">
        <f t="shared" si="17"/>
        <v>1.05652635471212</v>
      </c>
      <c r="N47" s="204">
        <f>E47-вересень!E47</f>
        <v>900</v>
      </c>
      <c r="O47" s="208">
        <f>F47-вересень!F47</f>
        <v>789.8600000000006</v>
      </c>
      <c r="P47" s="207">
        <f t="shared" si="15"/>
        <v>-110.13999999999942</v>
      </c>
      <c r="Q47" s="205">
        <f t="shared" si="12"/>
        <v>87.76222222222229</v>
      </c>
      <c r="R47" s="42"/>
      <c r="S47" s="100"/>
      <c r="T47" s="186">
        <f t="shared" si="8"/>
        <v>1150.9799999999996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244.99</v>
      </c>
      <c r="G48" s="202">
        <f t="shared" si="13"/>
        <v>-405.01</v>
      </c>
      <c r="H48" s="204">
        <f t="shared" si="11"/>
        <v>37.690769230769234</v>
      </c>
      <c r="I48" s="205">
        <f t="shared" si="14"/>
        <v>-405.01</v>
      </c>
      <c r="J48" s="205">
        <f t="shared" si="16"/>
        <v>37.690769230769234</v>
      </c>
      <c r="K48" s="205">
        <v>0</v>
      </c>
      <c r="L48" s="205">
        <f t="shared" si="1"/>
        <v>244.99</v>
      </c>
      <c r="M48" s="266"/>
      <c r="N48" s="204">
        <f>E48-вересень!E48</f>
        <v>0</v>
      </c>
      <c r="O48" s="208">
        <f>F48-вересень!F48</f>
        <v>34.870000000000005</v>
      </c>
      <c r="P48" s="207">
        <f t="shared" si="15"/>
        <v>34.870000000000005</v>
      </c>
      <c r="Q48" s="205"/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36</v>
      </c>
      <c r="F49" s="196">
        <v>16.96</v>
      </c>
      <c r="G49" s="202">
        <f t="shared" si="13"/>
        <v>-19.04</v>
      </c>
      <c r="H49" s="204">
        <f t="shared" si="11"/>
        <v>47.111111111111114</v>
      </c>
      <c r="I49" s="205">
        <f t="shared" si="14"/>
        <v>-33.04</v>
      </c>
      <c r="J49" s="205">
        <f t="shared" si="16"/>
        <v>33.92</v>
      </c>
      <c r="K49" s="205">
        <v>0</v>
      </c>
      <c r="L49" s="205">
        <f t="shared" si="1"/>
        <v>16.96</v>
      </c>
      <c r="M49" s="266"/>
      <c r="N49" s="204">
        <f>E49-вересень!E49</f>
        <v>4</v>
      </c>
      <c r="O49" s="208">
        <f>F49-вересень!F49</f>
        <v>0.28000000000000114</v>
      </c>
      <c r="P49" s="207">
        <f t="shared" si="15"/>
        <v>-3.719999999999999</v>
      </c>
      <c r="Q49" s="205">
        <f t="shared" si="12"/>
        <v>7.000000000000028</v>
      </c>
      <c r="R49" s="42"/>
      <c r="S49" s="100"/>
      <c r="T49" s="186">
        <f t="shared" si="8"/>
        <v>14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6566.23</v>
      </c>
      <c r="F50" s="196">
        <v>6193.94</v>
      </c>
      <c r="G50" s="202">
        <f t="shared" si="13"/>
        <v>-372.28999999999996</v>
      </c>
      <c r="H50" s="204">
        <f t="shared" si="11"/>
        <v>94.33023211188156</v>
      </c>
      <c r="I50" s="205">
        <f t="shared" si="14"/>
        <v>-1806.0600000000004</v>
      </c>
      <c r="J50" s="205">
        <f t="shared" si="16"/>
        <v>77.42425</v>
      </c>
      <c r="K50" s="205">
        <v>7492.82</v>
      </c>
      <c r="L50" s="205">
        <f t="shared" si="1"/>
        <v>-1298.88</v>
      </c>
      <c r="M50" s="266">
        <f t="shared" si="17"/>
        <v>0.8266500463110017</v>
      </c>
      <c r="N50" s="204">
        <f>E50-вересень!E50</f>
        <v>650</v>
      </c>
      <c r="O50" s="208">
        <f>F50-вересень!F50</f>
        <v>568.7199999999993</v>
      </c>
      <c r="P50" s="207">
        <f t="shared" si="15"/>
        <v>-81.28000000000065</v>
      </c>
      <c r="Q50" s="205">
        <f t="shared" si="12"/>
        <v>87.49538461538452</v>
      </c>
      <c r="R50" s="42"/>
      <c r="S50" s="100"/>
      <c r="T50" s="186">
        <f t="shared" si="8"/>
        <v>1433.7700000000004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5466.19</v>
      </c>
      <c r="F51" s="196">
        <v>5005.13</v>
      </c>
      <c r="G51" s="202">
        <f t="shared" si="13"/>
        <v>-461.0599999999995</v>
      </c>
      <c r="H51" s="204">
        <f t="shared" si="11"/>
        <v>91.56524013984148</v>
      </c>
      <c r="I51" s="205">
        <f t="shared" si="14"/>
        <v>-1994.9099999999999</v>
      </c>
      <c r="J51" s="205">
        <f t="shared" si="16"/>
        <v>71.50144856315107</v>
      </c>
      <c r="K51" s="205">
        <v>6187.55</v>
      </c>
      <c r="L51" s="205">
        <f t="shared" si="1"/>
        <v>-1182.42</v>
      </c>
      <c r="M51" s="266">
        <f t="shared" si="17"/>
        <v>0.8089033623970715</v>
      </c>
      <c r="N51" s="204">
        <f>E51-вересень!E51</f>
        <v>555</v>
      </c>
      <c r="O51" s="208">
        <f>F51-вересень!F51</f>
        <v>79.51000000000022</v>
      </c>
      <c r="P51" s="207">
        <f t="shared" si="15"/>
        <v>-475.4899999999998</v>
      </c>
      <c r="Q51" s="205">
        <f t="shared" si="12"/>
        <v>14.326126126126166</v>
      </c>
      <c r="R51" s="42"/>
      <c r="S51" s="100"/>
      <c r="T51" s="186">
        <f t="shared" si="8"/>
        <v>1533.8500000000004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738.99</v>
      </c>
      <c r="F52" s="171">
        <v>697.27</v>
      </c>
      <c r="G52" s="36">
        <f t="shared" si="13"/>
        <v>-41.72000000000003</v>
      </c>
      <c r="H52" s="32">
        <f t="shared" si="11"/>
        <v>94.35445675854882</v>
      </c>
      <c r="I52" s="110">
        <f t="shared" si="14"/>
        <v>-272.73</v>
      </c>
      <c r="J52" s="110">
        <f t="shared" si="16"/>
        <v>71.88350515463917</v>
      </c>
      <c r="K52" s="110">
        <v>883.77</v>
      </c>
      <c r="L52" s="110">
        <f>F52-K52</f>
        <v>-186.5</v>
      </c>
      <c r="M52" s="115">
        <f t="shared" si="17"/>
        <v>0.7889722439096145</v>
      </c>
      <c r="N52" s="111">
        <f>E52-вересень!E52</f>
        <v>55</v>
      </c>
      <c r="O52" s="179">
        <f>F52-вересень!F52</f>
        <v>54.15999999999997</v>
      </c>
      <c r="P52" s="112">
        <f t="shared" si="15"/>
        <v>-0.8400000000000318</v>
      </c>
      <c r="Q52" s="132">
        <f t="shared" si="12"/>
        <v>98.47272727272721</v>
      </c>
      <c r="R52" s="42"/>
      <c r="S52" s="100"/>
      <c r="T52" s="186">
        <f t="shared" si="8"/>
        <v>231.01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0.29</v>
      </c>
      <c r="G53" s="36">
        <f t="shared" si="13"/>
        <v>-4.75</v>
      </c>
      <c r="H53" s="32">
        <f t="shared" si="11"/>
        <v>5.753968253968254</v>
      </c>
      <c r="I53" s="110">
        <f t="shared" si="14"/>
        <v>-4.75</v>
      </c>
      <c r="J53" s="110">
        <f t="shared" si="16"/>
        <v>5.753968253968254</v>
      </c>
      <c r="K53" s="110">
        <v>44.11</v>
      </c>
      <c r="L53" s="110">
        <f>F53-K53</f>
        <v>-43.82</v>
      </c>
      <c r="M53" s="115">
        <f t="shared" si="17"/>
        <v>0.0065744729086374964</v>
      </c>
      <c r="N53" s="111">
        <f>E53-вересень!E53</f>
        <v>0</v>
      </c>
      <c r="O53" s="179">
        <f>F53-вересень!F53</f>
        <v>0.019999999999999962</v>
      </c>
      <c r="P53" s="112">
        <f t="shared" si="15"/>
        <v>0.019999999999999962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E54-вересень!E54</f>
        <v>0</v>
      </c>
      <c r="O54" s="179">
        <f>F54-вересень!F54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4722.17</v>
      </c>
      <c r="F55" s="171">
        <v>4307.55</v>
      </c>
      <c r="G55" s="36">
        <f t="shared" si="13"/>
        <v>-414.6199999999999</v>
      </c>
      <c r="H55" s="32">
        <f t="shared" si="11"/>
        <v>91.21971466507983</v>
      </c>
      <c r="I55" s="110">
        <f t="shared" si="14"/>
        <v>-1716.4499999999998</v>
      </c>
      <c r="J55" s="110">
        <f t="shared" si="16"/>
        <v>71.50647410358566</v>
      </c>
      <c r="K55" s="110">
        <v>5258.92</v>
      </c>
      <c r="L55" s="110">
        <f>F55-K55</f>
        <v>-951.3699999999999</v>
      </c>
      <c r="M55" s="115">
        <f t="shared" si="17"/>
        <v>0.8190940345165928</v>
      </c>
      <c r="N55" s="111">
        <f>E55-вересень!E55</f>
        <v>500</v>
      </c>
      <c r="O55" s="179">
        <f>F55-вересень!F55</f>
        <v>25.329999999999927</v>
      </c>
      <c r="P55" s="112">
        <f t="shared" si="15"/>
        <v>-474.6700000000001</v>
      </c>
      <c r="Q55" s="132">
        <f t="shared" si="12"/>
        <v>5.065999999999986</v>
      </c>
      <c r="R55" s="42"/>
      <c r="S55" s="100"/>
      <c r="T55" s="186">
        <f t="shared" si="8"/>
        <v>1301.83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3.89</v>
      </c>
      <c r="L56" s="205">
        <f>F56-K56</f>
        <v>-1.4300000000000002</v>
      </c>
      <c r="M56" s="266">
        <f t="shared" si="17"/>
        <v>0.6323907455012853</v>
      </c>
      <c r="N56" s="204">
        <f>E56-вересень!E56</f>
        <v>0</v>
      </c>
      <c r="O56" s="208">
        <f>F56-вересень!F56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5077.98</v>
      </c>
      <c r="F57" s="196">
        <v>5534.89</v>
      </c>
      <c r="G57" s="202">
        <f t="shared" si="13"/>
        <v>456.91000000000076</v>
      </c>
      <c r="H57" s="204">
        <f t="shared" si="11"/>
        <v>108.99786923146605</v>
      </c>
      <c r="I57" s="205">
        <f t="shared" si="14"/>
        <v>384.8900000000003</v>
      </c>
      <c r="J57" s="205">
        <f t="shared" si="16"/>
        <v>107.47359223300973</v>
      </c>
      <c r="K57" s="205">
        <v>4010.85</v>
      </c>
      <c r="L57" s="205">
        <f aca="true" t="shared" si="18" ref="L57:L63">F57-K57</f>
        <v>1524.0400000000004</v>
      </c>
      <c r="M57" s="266">
        <f t="shared" si="17"/>
        <v>1.3799793061321168</v>
      </c>
      <c r="N57" s="204">
        <f>E57-вересень!E57</f>
        <v>440</v>
      </c>
      <c r="O57" s="208">
        <f>F57-вересень!F57</f>
        <v>380.7600000000002</v>
      </c>
      <c r="P57" s="207">
        <f t="shared" si="15"/>
        <v>-59.23999999999978</v>
      </c>
      <c r="Q57" s="205">
        <f t="shared" si="12"/>
        <v>86.53636363636369</v>
      </c>
      <c r="R57" s="42"/>
      <c r="S57" s="100"/>
      <c r="T57" s="186">
        <f t="shared" si="8"/>
        <v>72.02000000000044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E58-вересень!E58</f>
        <v>0</v>
      </c>
      <c r="O58" s="208">
        <f>F58-вересень!F58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1134.04</v>
      </c>
      <c r="G59" s="202"/>
      <c r="H59" s="204"/>
      <c r="I59" s="205"/>
      <c r="J59" s="205"/>
      <c r="K59" s="206">
        <v>1044.28</v>
      </c>
      <c r="L59" s="205">
        <f t="shared" si="18"/>
        <v>89.75999999999999</v>
      </c>
      <c r="M59" s="266">
        <f t="shared" si="17"/>
        <v>1.0859539587083924</v>
      </c>
      <c r="N59" s="204"/>
      <c r="O59" s="220">
        <f>F59-вересень!F59</f>
        <v>131.68999999999994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E60-вересень!E60</f>
        <v>0</v>
      </c>
      <c r="O60" s="208">
        <f>F60-вересень!F60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158.93</v>
      </c>
      <c r="G61" s="202">
        <f t="shared" si="13"/>
        <v>58.93000000000001</v>
      </c>
      <c r="H61" s="204">
        <f t="shared" si="11"/>
        <v>158.93</v>
      </c>
      <c r="I61" s="205">
        <f t="shared" si="14"/>
        <v>58.93000000000001</v>
      </c>
      <c r="J61" s="205">
        <f t="shared" si="16"/>
        <v>158.93</v>
      </c>
      <c r="K61" s="205">
        <v>20.05</v>
      </c>
      <c r="L61" s="205">
        <f t="shared" si="18"/>
        <v>138.88</v>
      </c>
      <c r="M61" s="266">
        <f t="shared" si="17"/>
        <v>7.926683291770574</v>
      </c>
      <c r="N61" s="204">
        <f>E61-вересень!E61</f>
        <v>0</v>
      </c>
      <c r="O61" s="208">
        <f>F61-вересень!F61</f>
        <v>0</v>
      </c>
      <c r="P61" s="207">
        <f t="shared" si="15"/>
        <v>0</v>
      </c>
      <c r="Q61" s="205"/>
      <c r="R61" s="42"/>
      <c r="S61" s="100"/>
      <c r="T61" s="186">
        <f t="shared" si="8"/>
        <v>0</v>
      </c>
    </row>
    <row r="62" spans="1:20" s="6" customFormat="1" ht="30.75">
      <c r="A62" s="8"/>
      <c r="B62" s="12" t="s">
        <v>45</v>
      </c>
      <c r="C62" s="48">
        <v>31010200</v>
      </c>
      <c r="D62" s="190">
        <v>30</v>
      </c>
      <c r="E62" s="190">
        <v>21.4</v>
      </c>
      <c r="F62" s="196">
        <v>13.52</v>
      </c>
      <c r="G62" s="202">
        <f t="shared" si="13"/>
        <v>-7.879999999999999</v>
      </c>
      <c r="H62" s="204">
        <f t="shared" si="11"/>
        <v>63.177570093457945</v>
      </c>
      <c r="I62" s="205">
        <f t="shared" si="14"/>
        <v>-16.48</v>
      </c>
      <c r="J62" s="205">
        <f t="shared" si="16"/>
        <v>45.06666666666666</v>
      </c>
      <c r="K62" s="205">
        <v>20.92</v>
      </c>
      <c r="L62" s="205">
        <f t="shared" si="18"/>
        <v>-7.400000000000002</v>
      </c>
      <c r="M62" s="266">
        <f t="shared" si="17"/>
        <v>0.6462715105162523</v>
      </c>
      <c r="N62" s="204">
        <f>E62-вересень!E62</f>
        <v>2.299999999999997</v>
      </c>
      <c r="O62" s="208">
        <f>F62-вересень!F62</f>
        <v>0</v>
      </c>
      <c r="P62" s="207">
        <f t="shared" si="15"/>
        <v>-2.299999999999997</v>
      </c>
      <c r="Q62" s="205">
        <f t="shared" si="12"/>
        <v>0</v>
      </c>
      <c r="R62" s="42"/>
      <c r="S62" s="100"/>
      <c r="T62" s="186">
        <f t="shared" si="8"/>
        <v>8.600000000000001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1.02</v>
      </c>
      <c r="G63" s="202">
        <f t="shared" si="13"/>
        <v>0.8200000000000001</v>
      </c>
      <c r="H63" s="204"/>
      <c r="I63" s="205">
        <f t="shared" si="14"/>
        <v>0.21999999999999997</v>
      </c>
      <c r="J63" s="205"/>
      <c r="K63" s="205">
        <v>0.31</v>
      </c>
      <c r="L63" s="205">
        <f t="shared" si="18"/>
        <v>0.71</v>
      </c>
      <c r="M63" s="266">
        <f t="shared" si="17"/>
        <v>3.2903225806451615</v>
      </c>
      <c r="N63" s="204">
        <f>E63-вересень!E63</f>
        <v>0</v>
      </c>
      <c r="O63" s="208">
        <f>F63-вересень!F63</f>
        <v>0</v>
      </c>
      <c r="P63" s="207">
        <f t="shared" si="15"/>
        <v>0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1018944.7300000001</v>
      </c>
      <c r="E64" s="191">
        <f>E8+E38+E62+E63</f>
        <v>850992.5599999999</v>
      </c>
      <c r="F64" s="191">
        <f>F8+F38+F62+F63</f>
        <v>845982.04</v>
      </c>
      <c r="G64" s="191">
        <f>F64-E64</f>
        <v>-5010.519999999902</v>
      </c>
      <c r="H64" s="192">
        <f>F64/E64*100</f>
        <v>99.41121459393254</v>
      </c>
      <c r="I64" s="193">
        <f>F64-D64</f>
        <v>-172962.69000000006</v>
      </c>
      <c r="J64" s="193">
        <f>F64/D64*100</f>
        <v>83.02531188320685</v>
      </c>
      <c r="K64" s="193">
        <v>577689.14</v>
      </c>
      <c r="L64" s="193">
        <f>F64-K64</f>
        <v>268292.9</v>
      </c>
      <c r="M64" s="267">
        <f>F64/K64</f>
        <v>1.46442434420699</v>
      </c>
      <c r="N64" s="191">
        <f>N8+N38+N62+N63</f>
        <v>95997.42</v>
      </c>
      <c r="O64" s="191">
        <f>O8+O38+O62+O63</f>
        <v>88481.94000000002</v>
      </c>
      <c r="P64" s="195">
        <f>O64-N64</f>
        <v>-7515.479999999981</v>
      </c>
      <c r="Q64" s="193">
        <f>O64/N64*100</f>
        <v>92.17116460004866</v>
      </c>
      <c r="R64" s="28">
        <f>O64-34768</f>
        <v>53713.94000000002</v>
      </c>
      <c r="S64" s="128">
        <f>O64/34768</f>
        <v>2.5449246433502077</v>
      </c>
      <c r="T64" s="186">
        <f t="shared" si="8"/>
        <v>167952.17000000016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F69-вересень!F69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-10.19</v>
      </c>
      <c r="G70" s="202">
        <f>F70-E70</f>
        <v>-10.19</v>
      </c>
      <c r="H70" s="204"/>
      <c r="I70" s="207">
        <f>F70-D70</f>
        <v>-10.19</v>
      </c>
      <c r="J70" s="207"/>
      <c r="K70" s="207">
        <v>-54.75</v>
      </c>
      <c r="L70" s="207">
        <f>F70-K70</f>
        <v>44.56</v>
      </c>
      <c r="M70" s="254">
        <f>F70/K70</f>
        <v>0.18611872146118721</v>
      </c>
      <c r="N70" s="204"/>
      <c r="O70" s="223">
        <f>F70-вересень!F70</f>
        <v>-6.359999999999999</v>
      </c>
      <c r="P70" s="207">
        <f>O70-N70</f>
        <v>-6.359999999999999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-10.18</v>
      </c>
      <c r="G71" s="226">
        <f>F71-E71</f>
        <v>-10.18</v>
      </c>
      <c r="H71" s="227"/>
      <c r="I71" s="228">
        <f>F71-D71</f>
        <v>-10.18</v>
      </c>
      <c r="J71" s="228"/>
      <c r="K71" s="228">
        <v>-51.7</v>
      </c>
      <c r="L71" s="228">
        <f>F71-K71</f>
        <v>41.52</v>
      </c>
      <c r="M71" s="260">
        <f>F71/K71</f>
        <v>0.19690522243713732</v>
      </c>
      <c r="N71" s="226">
        <f>N70</f>
        <v>0</v>
      </c>
      <c r="O71" s="229">
        <f>SUM(O69:O70)</f>
        <v>-6.359999999999999</v>
      </c>
      <c r="P71" s="228">
        <f>O71-N71</f>
        <v>-6.359999999999999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2700</v>
      </c>
      <c r="F73" s="222">
        <v>2052.18</v>
      </c>
      <c r="G73" s="202">
        <f aca="true" t="shared" si="19" ref="G73:G83">F73-E73</f>
        <v>-647.8200000000002</v>
      </c>
      <c r="H73" s="204"/>
      <c r="I73" s="207">
        <f aca="true" t="shared" si="20" ref="I73:I83">F73-D73</f>
        <v>-2147.82</v>
      </c>
      <c r="J73" s="207">
        <f>F73/D73*100</f>
        <v>48.86142857142857</v>
      </c>
      <c r="K73" s="207">
        <v>593.13</v>
      </c>
      <c r="L73" s="207">
        <f aca="true" t="shared" si="21" ref="L73:L83">F73-K73</f>
        <v>1459.0499999999997</v>
      </c>
      <c r="M73" s="254">
        <f>F73/K73</f>
        <v>3.4599160386424557</v>
      </c>
      <c r="N73" s="204">
        <f>E73-вересень!E73</f>
        <v>0</v>
      </c>
      <c r="O73" s="208">
        <f>F73-вересень!F73</f>
        <v>498.2299999999998</v>
      </c>
      <c r="P73" s="207">
        <f aca="true" t="shared" si="22" ref="P73:P86">O73-N73</f>
        <v>498.2299999999998</v>
      </c>
      <c r="Q73" s="207" t="e">
        <f>O73/N73*100</f>
        <v>#DIV/0!</v>
      </c>
      <c r="R73" s="43"/>
      <c r="S73" s="103"/>
      <c r="T73" s="186">
        <f t="shared" si="8"/>
        <v>1500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5152.91</v>
      </c>
      <c r="F74" s="222">
        <v>7241.5</v>
      </c>
      <c r="G74" s="202">
        <f t="shared" si="19"/>
        <v>2088.59</v>
      </c>
      <c r="H74" s="204">
        <f>F74/E74*100</f>
        <v>140.53224294621873</v>
      </c>
      <c r="I74" s="207">
        <f t="shared" si="20"/>
        <v>-217.5</v>
      </c>
      <c r="J74" s="207">
        <f>F74/D74*100</f>
        <v>97.08405952540555</v>
      </c>
      <c r="K74" s="207">
        <v>7212.08</v>
      </c>
      <c r="L74" s="207">
        <f t="shared" si="21"/>
        <v>29.420000000000073</v>
      </c>
      <c r="M74" s="254">
        <f>F74/K74</f>
        <v>1.0040792670075762</v>
      </c>
      <c r="N74" s="204">
        <f>E74-вересень!E74</f>
        <v>460.6999999999998</v>
      </c>
      <c r="O74" s="208">
        <f>F74-вересень!F74</f>
        <v>338.0500000000002</v>
      </c>
      <c r="P74" s="207">
        <f t="shared" si="22"/>
        <v>-122.64999999999964</v>
      </c>
      <c r="Q74" s="207">
        <f>O74/N74*100</f>
        <v>73.3774690688084</v>
      </c>
      <c r="R74" s="43"/>
      <c r="S74" s="103"/>
      <c r="T74" s="186">
        <f aca="true" t="shared" si="23" ref="T74:T90">D74-E74</f>
        <v>2306.09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3000.85</v>
      </c>
      <c r="F75" s="222">
        <v>12241.29</v>
      </c>
      <c r="G75" s="202">
        <f t="shared" si="19"/>
        <v>9240.44</v>
      </c>
      <c r="H75" s="204">
        <f>F75/E75*100</f>
        <v>407.92742056417353</v>
      </c>
      <c r="I75" s="207">
        <f t="shared" si="20"/>
        <v>6241.290000000001</v>
      </c>
      <c r="J75" s="207">
        <f>F75/D75*100</f>
        <v>204.02150000000003</v>
      </c>
      <c r="K75" s="207">
        <v>2063.43</v>
      </c>
      <c r="L75" s="207">
        <f t="shared" si="21"/>
        <v>10177.86</v>
      </c>
      <c r="M75" s="254">
        <f>F75/K75</f>
        <v>5.932495892761083</v>
      </c>
      <c r="N75" s="204">
        <f>E75-вересень!E75</f>
        <v>302</v>
      </c>
      <c r="O75" s="208">
        <f>F75-вересень!F75</f>
        <v>124.8700000000008</v>
      </c>
      <c r="P75" s="207">
        <f t="shared" si="22"/>
        <v>-177.1299999999992</v>
      </c>
      <c r="Q75" s="207">
        <f>O75/N75*100</f>
        <v>41.347682119205565</v>
      </c>
      <c r="R75" s="43"/>
      <c r="S75" s="103"/>
      <c r="T75" s="186">
        <f t="shared" si="23"/>
        <v>2999.15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10</v>
      </c>
      <c r="F76" s="222">
        <v>11</v>
      </c>
      <c r="G76" s="202">
        <f t="shared" si="19"/>
        <v>1</v>
      </c>
      <c r="H76" s="204">
        <f>F76/E76*100</f>
        <v>110.00000000000001</v>
      </c>
      <c r="I76" s="207">
        <f t="shared" si="20"/>
        <v>-1</v>
      </c>
      <c r="J76" s="207">
        <f>F76/D76*100</f>
        <v>91.66666666666666</v>
      </c>
      <c r="K76" s="207">
        <v>0</v>
      </c>
      <c r="L76" s="207">
        <f t="shared" si="21"/>
        <v>11</v>
      </c>
      <c r="M76" s="254"/>
      <c r="N76" s="204">
        <f>E76-вересень!E76</f>
        <v>1</v>
      </c>
      <c r="O76" s="208">
        <f>F76-вересень!F76</f>
        <v>1</v>
      </c>
      <c r="P76" s="207">
        <f t="shared" si="22"/>
        <v>0</v>
      </c>
      <c r="Q76" s="207">
        <f>O76/N76*100</f>
        <v>100</v>
      </c>
      <c r="R76" s="43"/>
      <c r="S76" s="151"/>
      <c r="T76" s="186">
        <f t="shared" si="23"/>
        <v>2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10863.76</v>
      </c>
      <c r="F77" s="225">
        <f>F73+F74+F75+F76</f>
        <v>21545.97</v>
      </c>
      <c r="G77" s="226">
        <f t="shared" si="19"/>
        <v>10682.210000000001</v>
      </c>
      <c r="H77" s="227">
        <f>F77/E77*100</f>
        <v>198.32884747085723</v>
      </c>
      <c r="I77" s="228">
        <f t="shared" si="20"/>
        <v>3874.970000000001</v>
      </c>
      <c r="J77" s="228">
        <f>F77/D77*100</f>
        <v>121.92841378529795</v>
      </c>
      <c r="K77" s="228">
        <v>6439.8</v>
      </c>
      <c r="L77" s="228">
        <f t="shared" si="21"/>
        <v>15106.170000000002</v>
      </c>
      <c r="M77" s="260">
        <f>F77/K77</f>
        <v>3.3457514208515793</v>
      </c>
      <c r="N77" s="226">
        <f>N73+N74+N75+N76</f>
        <v>763.6999999999998</v>
      </c>
      <c r="O77" s="230">
        <f>O73+O74+O75+O76</f>
        <v>962.1500000000008</v>
      </c>
      <c r="P77" s="228">
        <f t="shared" si="22"/>
        <v>198.45000000000095</v>
      </c>
      <c r="Q77" s="228">
        <f>O77/N77*100</f>
        <v>125.98533455545385</v>
      </c>
      <c r="R77" s="44"/>
      <c r="S77" s="129"/>
      <c r="T77" s="186">
        <f t="shared" si="23"/>
        <v>6807.24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35.78</v>
      </c>
      <c r="G78" s="202">
        <f t="shared" si="19"/>
        <v>35.78</v>
      </c>
      <c r="H78" s="204"/>
      <c r="I78" s="207">
        <f t="shared" si="20"/>
        <v>34.78</v>
      </c>
      <c r="J78" s="207"/>
      <c r="K78" s="207">
        <v>0.35</v>
      </c>
      <c r="L78" s="207">
        <f t="shared" si="21"/>
        <v>35.43</v>
      </c>
      <c r="M78" s="254">
        <f>F78/K78</f>
        <v>102.22857142857144</v>
      </c>
      <c r="N78" s="204">
        <f>E78-вересень!E78</f>
        <v>0</v>
      </c>
      <c r="O78" s="208">
        <f>F78-вересень!F78</f>
        <v>0</v>
      </c>
      <c r="P78" s="207">
        <f t="shared" si="22"/>
        <v>0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E79-вересень!E79</f>
        <v>0</v>
      </c>
      <c r="O79" s="208">
        <f>F79-вересень!F79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7625.3</v>
      </c>
      <c r="F80" s="222">
        <v>6835.29</v>
      </c>
      <c r="G80" s="202">
        <f t="shared" si="19"/>
        <v>-790.0100000000002</v>
      </c>
      <c r="H80" s="204">
        <f>F80/E80*100</f>
        <v>89.63962073623333</v>
      </c>
      <c r="I80" s="207">
        <f t="shared" si="20"/>
        <v>-2664.71</v>
      </c>
      <c r="J80" s="207">
        <f>F80/D80*100</f>
        <v>71.95042105263157</v>
      </c>
      <c r="K80" s="207">
        <v>0</v>
      </c>
      <c r="L80" s="207">
        <f t="shared" si="21"/>
        <v>6835.29</v>
      </c>
      <c r="M80" s="254"/>
      <c r="N80" s="204">
        <f>E80-вересень!E80</f>
        <v>1.300000000000182</v>
      </c>
      <c r="O80" s="208">
        <f>F80-вересень!F80</f>
        <v>9.61999999999989</v>
      </c>
      <c r="P80" s="207">
        <f>O80-N80</f>
        <v>8.319999999999709</v>
      </c>
      <c r="Q80" s="231">
        <f>O80/N80*100</f>
        <v>739.999999999888</v>
      </c>
      <c r="R80" s="46"/>
      <c r="S80" s="105"/>
      <c r="T80" s="186">
        <f t="shared" si="23"/>
        <v>1874.6999999999998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1.34</v>
      </c>
      <c r="G81" s="202">
        <f t="shared" si="19"/>
        <v>1.34</v>
      </c>
      <c r="H81" s="204"/>
      <c r="I81" s="207">
        <f t="shared" si="20"/>
        <v>1.34</v>
      </c>
      <c r="J81" s="207"/>
      <c r="K81" s="207">
        <v>1.14</v>
      </c>
      <c r="L81" s="207">
        <f t="shared" si="21"/>
        <v>0.20000000000000018</v>
      </c>
      <c r="M81" s="254">
        <f>F81/K81</f>
        <v>1.1754385964912282</v>
      </c>
      <c r="N81" s="204">
        <f>E81-вересень!E81</f>
        <v>0</v>
      </c>
      <c r="O81" s="208">
        <f>F81-вересень!F81</f>
        <v>0.1200000000000001</v>
      </c>
      <c r="P81" s="207">
        <f t="shared" si="22"/>
        <v>0.1200000000000001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7625.3</v>
      </c>
      <c r="F82" s="225">
        <f>F78+F81+F79+F80</f>
        <v>6872.41</v>
      </c>
      <c r="G82" s="224">
        <f>G78+G81+G79+G80</f>
        <v>-752.8900000000002</v>
      </c>
      <c r="H82" s="227">
        <f>F82/E82*100</f>
        <v>90.12642125555715</v>
      </c>
      <c r="I82" s="228">
        <f t="shared" si="20"/>
        <v>-2628.59</v>
      </c>
      <c r="J82" s="228">
        <f>F82/D82*100</f>
        <v>72.3335438374908</v>
      </c>
      <c r="K82" s="228">
        <v>1.35</v>
      </c>
      <c r="L82" s="228">
        <f t="shared" si="21"/>
        <v>6871.0599999999995</v>
      </c>
      <c r="M82" s="268">
        <f>F82/K82</f>
        <v>5090.674074074073</v>
      </c>
      <c r="N82" s="226">
        <f>N78+N81+N79+N80</f>
        <v>1.300000000000182</v>
      </c>
      <c r="O82" s="230">
        <f>O78+O81+O79+O80</f>
        <v>9.739999999999892</v>
      </c>
      <c r="P82" s="226">
        <f>P78+P81+P79+P80</f>
        <v>8.43999999999971</v>
      </c>
      <c r="Q82" s="228">
        <f>O82/N82*100</f>
        <v>749.230769230656</v>
      </c>
      <c r="R82" s="44"/>
      <c r="S82" s="102"/>
      <c r="T82" s="186">
        <f t="shared" si="23"/>
        <v>1875.6999999999998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29.77</v>
      </c>
      <c r="F83" s="222">
        <v>27.18</v>
      </c>
      <c r="G83" s="202">
        <f t="shared" si="19"/>
        <v>-2.59</v>
      </c>
      <c r="H83" s="204">
        <f>F83/E83*100</f>
        <v>91.29996640913672</v>
      </c>
      <c r="I83" s="207">
        <f t="shared" si="20"/>
        <v>-15.82</v>
      </c>
      <c r="J83" s="207">
        <f>F83/D83*100</f>
        <v>63.2093023255814</v>
      </c>
      <c r="K83" s="207">
        <v>30.02</v>
      </c>
      <c r="L83" s="207">
        <f t="shared" si="21"/>
        <v>-2.84</v>
      </c>
      <c r="M83" s="254">
        <f>F83/K83</f>
        <v>0.905396402398401</v>
      </c>
      <c r="N83" s="204">
        <f>E83-вересень!E83</f>
        <v>0.8000000000000007</v>
      </c>
      <c r="O83" s="208">
        <f>F83-вересень!F83</f>
        <v>0.3099999999999987</v>
      </c>
      <c r="P83" s="207">
        <f t="shared" si="22"/>
        <v>-0.490000000000002</v>
      </c>
      <c r="Q83" s="207">
        <f>O83/N83</f>
        <v>0.38749999999999807</v>
      </c>
      <c r="R83" s="43"/>
      <c r="S83" s="103"/>
      <c r="T83" s="186">
        <f t="shared" si="23"/>
        <v>13.23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18518.83</v>
      </c>
      <c r="F85" s="232">
        <f>F71+F83+F77+F82+F84</f>
        <v>28435.38</v>
      </c>
      <c r="G85" s="233">
        <f>F85-E85</f>
        <v>9916.55</v>
      </c>
      <c r="H85" s="234">
        <f>F85/E85*100</f>
        <v>153.54846931474611</v>
      </c>
      <c r="I85" s="235">
        <f>F85-D85</f>
        <v>1220.380000000001</v>
      </c>
      <c r="J85" s="235">
        <f>F85/D85*100</f>
        <v>104.48421826198788</v>
      </c>
      <c r="K85" s="235">
        <v>9845.6</v>
      </c>
      <c r="L85" s="235">
        <f>F85-K85</f>
        <v>18589.78</v>
      </c>
      <c r="M85" s="269">
        <f>F85/K85</f>
        <v>2.8881307386040467</v>
      </c>
      <c r="N85" s="232">
        <f>N71+N83+N77+N82</f>
        <v>765.8</v>
      </c>
      <c r="O85" s="232">
        <f>O71+O83+O77+O82+O84</f>
        <v>965.8400000000007</v>
      </c>
      <c r="P85" s="235">
        <f t="shared" si="22"/>
        <v>200.04000000000076</v>
      </c>
      <c r="Q85" s="235">
        <f>O85/N85*100</f>
        <v>126.1217027944634</v>
      </c>
      <c r="R85" s="28">
        <f>O85-8104.96</f>
        <v>-7139.119999999999</v>
      </c>
      <c r="S85" s="101">
        <f>O85/8104.96</f>
        <v>0.11916653506001272</v>
      </c>
      <c r="T85" s="186">
        <f t="shared" si="23"/>
        <v>8696.169999999998</v>
      </c>
    </row>
    <row r="86" spans="2:20" ht="17.25">
      <c r="B86" s="21" t="s">
        <v>33</v>
      </c>
      <c r="C86" s="71"/>
      <c r="D86" s="232">
        <f>D64+D85</f>
        <v>1046159.7300000001</v>
      </c>
      <c r="E86" s="232">
        <f>E64+E85</f>
        <v>869511.3899999999</v>
      </c>
      <c r="F86" s="232">
        <f>F64+F85</f>
        <v>874417.42</v>
      </c>
      <c r="G86" s="233">
        <f>F86-E86</f>
        <v>4906.030000000144</v>
      </c>
      <c r="H86" s="234">
        <f>F86/E86*100</f>
        <v>100.56422837658288</v>
      </c>
      <c r="I86" s="235">
        <f>F86-D86</f>
        <v>-171742.31000000006</v>
      </c>
      <c r="J86" s="235">
        <f>F86/D86*100</f>
        <v>83.58354799223633</v>
      </c>
      <c r="K86" s="235">
        <f>K64+K85</f>
        <v>587534.74</v>
      </c>
      <c r="L86" s="235">
        <f>F86-K86</f>
        <v>286882.68000000005</v>
      </c>
      <c r="M86" s="269">
        <f>F86/K86</f>
        <v>1.4882820716269476</v>
      </c>
      <c r="N86" s="233">
        <f>N64+N85</f>
        <v>96763.22</v>
      </c>
      <c r="O86" s="233">
        <f>O64+O85</f>
        <v>89447.78000000001</v>
      </c>
      <c r="P86" s="235">
        <f t="shared" si="22"/>
        <v>-7315.439999999988</v>
      </c>
      <c r="Q86" s="235">
        <f>O86/N86*100</f>
        <v>92.43985472992735</v>
      </c>
      <c r="R86" s="28">
        <f>O86-42872.96</f>
        <v>46574.820000000014</v>
      </c>
      <c r="S86" s="101">
        <f>O86/42872.96</f>
        <v>2.086344866321337</v>
      </c>
      <c r="T86" s="186">
        <f t="shared" si="23"/>
        <v>176648.3400000002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1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>
        <f>IF(P64&lt;0,ABS(P64/C88),0)</f>
        <v>7515.479999999981</v>
      </c>
      <c r="D89" s="4" t="s">
        <v>24</v>
      </c>
      <c r="G89" s="439"/>
      <c r="H89" s="439"/>
      <c r="I89" s="439"/>
      <c r="J89" s="439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42670</v>
      </c>
      <c r="D90" s="31">
        <v>15898.1</v>
      </c>
      <c r="G90" s="4" t="s">
        <v>59</v>
      </c>
      <c r="O90" s="440"/>
      <c r="P90" s="440"/>
      <c r="T90" s="186">
        <f t="shared" si="23"/>
        <v>15898.1</v>
      </c>
    </row>
    <row r="91" spans="3:16" ht="15">
      <c r="C91" s="87">
        <v>42670</v>
      </c>
      <c r="D91" s="31">
        <v>7999.8</v>
      </c>
      <c r="F91" s="124" t="s">
        <v>59</v>
      </c>
      <c r="G91" s="441"/>
      <c r="H91" s="441"/>
      <c r="I91" s="131"/>
      <c r="J91" s="442"/>
      <c r="K91" s="442"/>
      <c r="L91" s="442"/>
      <c r="M91" s="442"/>
      <c r="N91" s="442"/>
      <c r="O91" s="440"/>
      <c r="P91" s="440"/>
    </row>
    <row r="92" spans="3:16" ht="15.75" customHeight="1">
      <c r="C92" s="87">
        <v>42669</v>
      </c>
      <c r="D92" s="31">
        <v>3135.8</v>
      </c>
      <c r="F92" s="73"/>
      <c r="G92" s="441"/>
      <c r="H92" s="441"/>
      <c r="I92" s="131"/>
      <c r="J92" s="443"/>
      <c r="K92" s="443"/>
      <c r="L92" s="443"/>
      <c r="M92" s="443"/>
      <c r="N92" s="443"/>
      <c r="O92" s="440"/>
      <c r="P92" s="440"/>
    </row>
    <row r="93" spans="3:14" ht="15.75" customHeight="1">
      <c r="C93" s="87"/>
      <c r="F93" s="73"/>
      <c r="G93" s="447"/>
      <c r="H93" s="447"/>
      <c r="I93" s="139"/>
      <c r="J93" s="442"/>
      <c r="K93" s="442"/>
      <c r="L93" s="442"/>
      <c r="M93" s="442"/>
      <c r="N93" s="442"/>
    </row>
    <row r="94" spans="2:14" ht="18.75" customHeight="1">
      <c r="B94" s="448" t="s">
        <v>57</v>
      </c>
      <c r="C94" s="449"/>
      <c r="D94" s="148">
        <v>7072.66653</v>
      </c>
      <c r="E94" s="74"/>
      <c r="F94" s="140" t="s">
        <v>137</v>
      </c>
      <c r="G94" s="441"/>
      <c r="H94" s="441"/>
      <c r="I94" s="141"/>
      <c r="J94" s="442"/>
      <c r="K94" s="442"/>
      <c r="L94" s="442"/>
      <c r="M94" s="442"/>
      <c r="N94" s="442"/>
    </row>
    <row r="95" spans="6:13" ht="9.75" customHeight="1">
      <c r="F95" s="73"/>
      <c r="G95" s="441"/>
      <c r="H95" s="441"/>
      <c r="I95" s="73"/>
      <c r="J95" s="74"/>
      <c r="K95" s="74"/>
      <c r="L95" s="74"/>
      <c r="M95" s="74"/>
    </row>
    <row r="96" spans="2:13" ht="22.5" customHeight="1" hidden="1">
      <c r="B96" s="444" t="s">
        <v>60</v>
      </c>
      <c r="C96" s="445"/>
      <c r="D96" s="86">
        <v>0</v>
      </c>
      <c r="E96" s="56" t="s">
        <v>24</v>
      </c>
      <c r="F96" s="73"/>
      <c r="G96" s="441"/>
      <c r="H96" s="441"/>
      <c r="I96" s="73"/>
      <c r="J96" s="74"/>
      <c r="K96" s="74"/>
      <c r="L96" s="74"/>
      <c r="M96" s="74"/>
    </row>
    <row r="97" spans="4:16" ht="15" hidden="1">
      <c r="D97" s="73">
        <f>D45+D48+D49</f>
        <v>1000</v>
      </c>
      <c r="E97" s="73">
        <f>E45+E48+E49</f>
        <v>958</v>
      </c>
      <c r="F97" s="247">
        <f>F45+F48+F49</f>
        <v>786.57</v>
      </c>
      <c r="G97" s="73">
        <f>G45+G48+G49</f>
        <v>-171.42999999999998</v>
      </c>
      <c r="H97" s="74"/>
      <c r="I97" s="74"/>
      <c r="N97" s="31">
        <f>N45+N48+N49</f>
        <v>12</v>
      </c>
      <c r="O97" s="246">
        <f>O45+O48+O49</f>
        <v>131.14000000000001</v>
      </c>
      <c r="P97" s="31">
        <f>P45+P48+P49</f>
        <v>119.14000000000001</v>
      </c>
    </row>
    <row r="98" spans="4:16" ht="15">
      <c r="D98" s="83"/>
      <c r="I98" s="31"/>
      <c r="O98" s="446"/>
      <c r="P98" s="446"/>
    </row>
    <row r="99" spans="15:16" ht="15">
      <c r="O99" s="441"/>
      <c r="P99" s="441"/>
    </row>
    <row r="100" ht="15">
      <c r="O100" s="31"/>
    </row>
    <row r="103" ht="15">
      <c r="E103" s="4" t="s">
        <v>59</v>
      </c>
    </row>
  </sheetData>
  <sheetProtection/>
  <mergeCells count="38"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" bottom="0" header="0" footer="0"/>
  <pageSetup fitToHeight="2" fitToWidth="1" orientation="portrait" paperSize="9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27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13" t="s">
        <v>114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92"/>
      <c r="R1" s="93"/>
    </row>
    <row r="2" spans="2:18" s="1" customFormat="1" ht="15.75" customHeight="1">
      <c r="B2" s="453"/>
      <c r="C2" s="453"/>
      <c r="D2" s="453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5"/>
      <c r="B3" s="417" t="s">
        <v>135</v>
      </c>
      <c r="C3" s="418" t="s">
        <v>0</v>
      </c>
      <c r="D3" s="419" t="s">
        <v>121</v>
      </c>
      <c r="E3" s="34"/>
      <c r="F3" s="420" t="s">
        <v>26</v>
      </c>
      <c r="G3" s="421"/>
      <c r="H3" s="421"/>
      <c r="I3" s="421"/>
      <c r="J3" s="422"/>
      <c r="K3" s="89"/>
      <c r="L3" s="89"/>
      <c r="M3" s="456" t="s">
        <v>132</v>
      </c>
      <c r="N3" s="426" t="s">
        <v>66</v>
      </c>
      <c r="O3" s="426"/>
      <c r="P3" s="426"/>
      <c r="Q3" s="426"/>
      <c r="R3" s="426"/>
    </row>
    <row r="4" spans="1:18" ht="22.5" customHeight="1">
      <c r="A4" s="415"/>
      <c r="B4" s="417"/>
      <c r="C4" s="418"/>
      <c r="D4" s="419"/>
      <c r="E4" s="427" t="s">
        <v>129</v>
      </c>
      <c r="F4" s="454" t="s">
        <v>34</v>
      </c>
      <c r="G4" s="431" t="s">
        <v>130</v>
      </c>
      <c r="H4" s="424" t="s">
        <v>131</v>
      </c>
      <c r="I4" s="431" t="s">
        <v>122</v>
      </c>
      <c r="J4" s="424" t="s">
        <v>123</v>
      </c>
      <c r="K4" s="91" t="s">
        <v>65</v>
      </c>
      <c r="L4" s="96" t="s">
        <v>64</v>
      </c>
      <c r="M4" s="424"/>
      <c r="N4" s="457" t="s">
        <v>133</v>
      </c>
      <c r="O4" s="431" t="s">
        <v>50</v>
      </c>
      <c r="P4" s="435" t="s">
        <v>49</v>
      </c>
      <c r="Q4" s="97" t="s">
        <v>65</v>
      </c>
      <c r="R4" s="98" t="s">
        <v>64</v>
      </c>
    </row>
    <row r="5" spans="1:18" ht="92.25" customHeight="1">
      <c r="A5" s="416"/>
      <c r="B5" s="417"/>
      <c r="C5" s="418"/>
      <c r="D5" s="419"/>
      <c r="E5" s="428"/>
      <c r="F5" s="455"/>
      <c r="G5" s="432"/>
      <c r="H5" s="425"/>
      <c r="I5" s="432"/>
      <c r="J5" s="425"/>
      <c r="K5" s="436" t="s">
        <v>134</v>
      </c>
      <c r="L5" s="438"/>
      <c r="M5" s="425"/>
      <c r="N5" s="458"/>
      <c r="O5" s="432"/>
      <c r="P5" s="435"/>
      <c r="Q5" s="436" t="s">
        <v>120</v>
      </c>
      <c r="R5" s="43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39"/>
      <c r="H83" s="439"/>
      <c r="I83" s="439"/>
      <c r="J83" s="439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440"/>
      <c r="O84" s="440"/>
    </row>
    <row r="85" spans="3:15" ht="15">
      <c r="C85" s="87">
        <v>42397</v>
      </c>
      <c r="D85" s="31">
        <v>8685</v>
      </c>
      <c r="F85" s="124" t="s">
        <v>59</v>
      </c>
      <c r="G85" s="441"/>
      <c r="H85" s="441"/>
      <c r="I85" s="131"/>
      <c r="J85" s="442"/>
      <c r="K85" s="442"/>
      <c r="L85" s="442"/>
      <c r="M85" s="442"/>
      <c r="N85" s="440"/>
      <c r="O85" s="440"/>
    </row>
    <row r="86" spans="3:15" ht="15.75" customHeight="1">
      <c r="C86" s="87">
        <v>42396</v>
      </c>
      <c r="D86" s="31">
        <v>4820.3</v>
      </c>
      <c r="F86" s="73"/>
      <c r="G86" s="441"/>
      <c r="H86" s="441"/>
      <c r="I86" s="131"/>
      <c r="J86" s="443"/>
      <c r="K86" s="443"/>
      <c r="L86" s="443"/>
      <c r="M86" s="443"/>
      <c r="N86" s="440"/>
      <c r="O86" s="440"/>
    </row>
    <row r="87" spans="3:13" ht="15.75" customHeight="1">
      <c r="C87" s="87"/>
      <c r="F87" s="73"/>
      <c r="G87" s="447"/>
      <c r="H87" s="447"/>
      <c r="I87" s="139"/>
      <c r="J87" s="442"/>
      <c r="K87" s="442"/>
      <c r="L87" s="442"/>
      <c r="M87" s="442"/>
    </row>
    <row r="88" spans="2:13" ht="18.75" customHeight="1">
      <c r="B88" s="448" t="s">
        <v>57</v>
      </c>
      <c r="C88" s="449"/>
      <c r="D88" s="148">
        <v>300.92</v>
      </c>
      <c r="E88" s="74"/>
      <c r="F88" s="140"/>
      <c r="G88" s="441"/>
      <c r="H88" s="441"/>
      <c r="I88" s="141"/>
      <c r="J88" s="442"/>
      <c r="K88" s="442"/>
      <c r="L88" s="442"/>
      <c r="M88" s="442"/>
    </row>
    <row r="89" spans="6:12" ht="9.75" customHeight="1">
      <c r="F89" s="73"/>
      <c r="G89" s="441"/>
      <c r="H89" s="441"/>
      <c r="I89" s="73"/>
      <c r="J89" s="74"/>
      <c r="K89" s="74"/>
      <c r="L89" s="74"/>
    </row>
    <row r="90" spans="2:12" ht="22.5" customHeight="1" hidden="1">
      <c r="B90" s="444" t="s">
        <v>60</v>
      </c>
      <c r="C90" s="445"/>
      <c r="D90" s="86">
        <v>0</v>
      </c>
      <c r="E90" s="56" t="s">
        <v>24</v>
      </c>
      <c r="F90" s="73"/>
      <c r="G90" s="441"/>
      <c r="H90" s="441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41"/>
      <c r="O91" s="441"/>
    </row>
    <row r="92" spans="4:15" ht="15">
      <c r="D92" s="83"/>
      <c r="I92" s="31"/>
      <c r="N92" s="446"/>
      <c r="O92" s="446"/>
    </row>
    <row r="93" spans="14:15" ht="15">
      <c r="N93" s="441"/>
      <c r="O93" s="441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D5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3" sqref="F5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13" t="s">
        <v>114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92"/>
      <c r="R1" s="93"/>
    </row>
    <row r="2" spans="2:18" s="1" customFormat="1" ht="15.75" customHeight="1">
      <c r="B2" s="453"/>
      <c r="C2" s="453"/>
      <c r="D2" s="453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415"/>
      <c r="B3" s="417" t="s">
        <v>136</v>
      </c>
      <c r="C3" s="418" t="s">
        <v>0</v>
      </c>
      <c r="D3" s="419" t="s">
        <v>115</v>
      </c>
      <c r="E3" s="34"/>
      <c r="F3" s="420" t="s">
        <v>26</v>
      </c>
      <c r="G3" s="421"/>
      <c r="H3" s="421"/>
      <c r="I3" s="421"/>
      <c r="J3" s="422"/>
      <c r="K3" s="89"/>
      <c r="L3" s="89"/>
      <c r="M3" s="456" t="s">
        <v>107</v>
      </c>
      <c r="N3" s="426" t="s">
        <v>66</v>
      </c>
      <c r="O3" s="426"/>
      <c r="P3" s="426"/>
      <c r="Q3" s="426"/>
      <c r="R3" s="426"/>
    </row>
    <row r="4" spans="1:18" ht="22.5" customHeight="1">
      <c r="A4" s="415"/>
      <c r="B4" s="417"/>
      <c r="C4" s="418"/>
      <c r="D4" s="419"/>
      <c r="E4" s="427" t="s">
        <v>104</v>
      </c>
      <c r="F4" s="459" t="s">
        <v>34</v>
      </c>
      <c r="G4" s="431" t="s">
        <v>109</v>
      </c>
      <c r="H4" s="424" t="s">
        <v>110</v>
      </c>
      <c r="I4" s="431" t="s">
        <v>105</v>
      </c>
      <c r="J4" s="424" t="s">
        <v>106</v>
      </c>
      <c r="K4" s="91" t="s">
        <v>65</v>
      </c>
      <c r="L4" s="96" t="s">
        <v>64</v>
      </c>
      <c r="M4" s="424"/>
      <c r="N4" s="457" t="s">
        <v>103</v>
      </c>
      <c r="O4" s="431" t="s">
        <v>50</v>
      </c>
      <c r="P4" s="435" t="s">
        <v>49</v>
      </c>
      <c r="Q4" s="97" t="s">
        <v>65</v>
      </c>
      <c r="R4" s="98" t="s">
        <v>64</v>
      </c>
    </row>
    <row r="5" spans="1:18" ht="76.5" customHeight="1">
      <c r="A5" s="416"/>
      <c r="B5" s="417"/>
      <c r="C5" s="418"/>
      <c r="D5" s="419"/>
      <c r="E5" s="428"/>
      <c r="F5" s="460"/>
      <c r="G5" s="432"/>
      <c r="H5" s="425"/>
      <c r="I5" s="432"/>
      <c r="J5" s="425"/>
      <c r="K5" s="436" t="s">
        <v>108</v>
      </c>
      <c r="L5" s="438"/>
      <c r="M5" s="425"/>
      <c r="N5" s="458"/>
      <c r="O5" s="432"/>
      <c r="P5" s="435"/>
      <c r="Q5" s="436" t="s">
        <v>126</v>
      </c>
      <c r="R5" s="43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439"/>
      <c r="H82" s="439"/>
      <c r="I82" s="439"/>
      <c r="J82" s="439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440"/>
      <c r="O83" s="440"/>
    </row>
    <row r="84" spans="3:15" ht="15">
      <c r="C84" s="87">
        <v>42397</v>
      </c>
      <c r="D84" s="31">
        <v>8685</v>
      </c>
      <c r="F84" s="166" t="s">
        <v>59</v>
      </c>
      <c r="G84" s="441"/>
      <c r="H84" s="441"/>
      <c r="I84" s="131"/>
      <c r="J84" s="442"/>
      <c r="K84" s="442"/>
      <c r="L84" s="442"/>
      <c r="M84" s="442"/>
      <c r="N84" s="440"/>
      <c r="O84" s="440"/>
    </row>
    <row r="85" spans="3:15" ht="15.75" customHeight="1">
      <c r="C85" s="87">
        <v>42396</v>
      </c>
      <c r="D85" s="31">
        <v>4820.3</v>
      </c>
      <c r="F85" s="167"/>
      <c r="G85" s="441"/>
      <c r="H85" s="441"/>
      <c r="I85" s="131"/>
      <c r="J85" s="443"/>
      <c r="K85" s="443"/>
      <c r="L85" s="443"/>
      <c r="M85" s="443"/>
      <c r="N85" s="440"/>
      <c r="O85" s="440"/>
    </row>
    <row r="86" spans="3:13" ht="15.75" customHeight="1">
      <c r="C86" s="87"/>
      <c r="F86" s="167"/>
      <c r="G86" s="447"/>
      <c r="H86" s="447"/>
      <c r="I86" s="139"/>
      <c r="J86" s="442"/>
      <c r="K86" s="442"/>
      <c r="L86" s="442"/>
      <c r="M86" s="442"/>
    </row>
    <row r="87" spans="2:13" ht="18.75" customHeight="1">
      <c r="B87" s="448" t="s">
        <v>57</v>
      </c>
      <c r="C87" s="449"/>
      <c r="D87" s="148">
        <v>300.92</v>
      </c>
      <c r="E87" s="74"/>
      <c r="F87" s="168"/>
      <c r="G87" s="441"/>
      <c r="H87" s="441"/>
      <c r="I87" s="141"/>
      <c r="J87" s="442"/>
      <c r="K87" s="442"/>
      <c r="L87" s="442"/>
      <c r="M87" s="442"/>
    </row>
    <row r="88" spans="6:12" ht="9.75" customHeight="1">
      <c r="F88" s="167"/>
      <c r="G88" s="441"/>
      <c r="H88" s="441"/>
      <c r="I88" s="73"/>
      <c r="J88" s="74"/>
      <c r="K88" s="74"/>
      <c r="L88" s="74"/>
    </row>
    <row r="89" spans="2:12" ht="22.5" customHeight="1" hidden="1">
      <c r="B89" s="444" t="s">
        <v>60</v>
      </c>
      <c r="C89" s="445"/>
      <c r="D89" s="86">
        <v>0</v>
      </c>
      <c r="E89" s="56" t="s">
        <v>24</v>
      </c>
      <c r="F89" s="167"/>
      <c r="G89" s="441"/>
      <c r="H89" s="441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441"/>
      <c r="O90" s="441"/>
    </row>
    <row r="91" spans="4:15" ht="15">
      <c r="D91" s="83"/>
      <c r="I91" s="31"/>
      <c r="N91" s="446"/>
      <c r="O91" s="446"/>
    </row>
    <row r="92" spans="14:15" ht="15">
      <c r="N92" s="441"/>
      <c r="O92" s="441"/>
    </row>
    <row r="96" ht="15">
      <c r="E96" s="4" t="s">
        <v>59</v>
      </c>
    </row>
  </sheetData>
  <sheetProtection/>
  <mergeCells count="39">
    <mergeCell ref="G88:H88"/>
    <mergeCell ref="N92:O92"/>
    <mergeCell ref="B89:C89"/>
    <mergeCell ref="G89:H89"/>
    <mergeCell ref="N90:O90"/>
    <mergeCell ref="N91:O91"/>
    <mergeCell ref="G85:H85"/>
    <mergeCell ref="J85:M85"/>
    <mergeCell ref="N85:O85"/>
    <mergeCell ref="G86:H86"/>
    <mergeCell ref="J86:M86"/>
    <mergeCell ref="B87:C87"/>
    <mergeCell ref="G87:H87"/>
    <mergeCell ref="J87:M87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F4:F5"/>
    <mergeCell ref="G4:G5"/>
    <mergeCell ref="H4:H5"/>
    <mergeCell ref="I4:I5"/>
    <mergeCell ref="Q5:R5"/>
    <mergeCell ref="P4:P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6" zoomScaleNormal="76" zoomScalePageLayoutView="0" workbookViewId="0" topLeftCell="B1">
      <pane xSplit="2" ySplit="8" topLeftCell="D3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51" sqref="A51:IV5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customWidth="1"/>
    <col min="13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9.125" style="4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413" t="s">
        <v>206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92"/>
      <c r="S1" s="93"/>
    </row>
    <row r="2" spans="2:19" s="1" customFormat="1" ht="15.75" customHeight="1">
      <c r="B2" s="414"/>
      <c r="C2" s="414"/>
      <c r="D2" s="414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15"/>
      <c r="B3" s="417"/>
      <c r="C3" s="418" t="s">
        <v>0</v>
      </c>
      <c r="D3" s="419" t="s">
        <v>121</v>
      </c>
      <c r="E3" s="34"/>
      <c r="F3" s="420" t="s">
        <v>26</v>
      </c>
      <c r="G3" s="421"/>
      <c r="H3" s="421"/>
      <c r="I3" s="421"/>
      <c r="J3" s="422"/>
      <c r="K3" s="89"/>
      <c r="L3" s="89"/>
      <c r="M3" s="89"/>
      <c r="N3" s="423" t="s">
        <v>201</v>
      </c>
      <c r="O3" s="426" t="s">
        <v>202</v>
      </c>
      <c r="P3" s="426"/>
      <c r="Q3" s="426"/>
      <c r="R3" s="426"/>
      <c r="S3" s="426"/>
    </row>
    <row r="4" spans="1:19" ht="22.5" customHeight="1">
      <c r="A4" s="415"/>
      <c r="B4" s="417"/>
      <c r="C4" s="418"/>
      <c r="D4" s="419"/>
      <c r="E4" s="427" t="s">
        <v>198</v>
      </c>
      <c r="F4" s="429" t="s">
        <v>34</v>
      </c>
      <c r="G4" s="431" t="s">
        <v>199</v>
      </c>
      <c r="H4" s="424" t="s">
        <v>200</v>
      </c>
      <c r="I4" s="431" t="s">
        <v>122</v>
      </c>
      <c r="J4" s="424" t="s">
        <v>123</v>
      </c>
      <c r="K4" s="91" t="s">
        <v>186</v>
      </c>
      <c r="L4" s="249" t="s">
        <v>185</v>
      </c>
      <c r="M4" s="96" t="s">
        <v>64</v>
      </c>
      <c r="N4" s="424"/>
      <c r="O4" s="433" t="s">
        <v>207</v>
      </c>
      <c r="P4" s="431" t="s">
        <v>50</v>
      </c>
      <c r="Q4" s="435" t="s">
        <v>49</v>
      </c>
      <c r="R4" s="97" t="s">
        <v>65</v>
      </c>
      <c r="S4" s="98" t="s">
        <v>64</v>
      </c>
    </row>
    <row r="5" spans="1:19" ht="67.5" customHeight="1">
      <c r="A5" s="416"/>
      <c r="B5" s="417"/>
      <c r="C5" s="418"/>
      <c r="D5" s="419"/>
      <c r="E5" s="428"/>
      <c r="F5" s="430"/>
      <c r="G5" s="432"/>
      <c r="H5" s="425"/>
      <c r="I5" s="432"/>
      <c r="J5" s="425"/>
      <c r="K5" s="436" t="s">
        <v>203</v>
      </c>
      <c r="L5" s="437"/>
      <c r="M5" s="438"/>
      <c r="N5" s="425"/>
      <c r="O5" s="434"/>
      <c r="P5" s="432"/>
      <c r="Q5" s="435"/>
      <c r="R5" s="436" t="s">
        <v>120</v>
      </c>
      <c r="S5" s="438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957071.4500000001</v>
      </c>
      <c r="E8" s="191">
        <f>E9+E15+E18+E19+E20+E37+E17</f>
        <v>705850.81</v>
      </c>
      <c r="F8" s="191">
        <f>F9+F15+F18+F19+F20+F37+F17</f>
        <v>708038.67</v>
      </c>
      <c r="G8" s="191">
        <f aca="true" t="shared" si="0" ref="G8:G37">F8-E8</f>
        <v>2187.859999999986</v>
      </c>
      <c r="H8" s="192">
        <f>F8/E8*100</f>
        <v>100.3099606841848</v>
      </c>
      <c r="I8" s="193">
        <f>F8-D8</f>
        <v>-249032.78000000003</v>
      </c>
      <c r="J8" s="193">
        <f>F8/D8*100</f>
        <v>73.97970862050059</v>
      </c>
      <c r="K8" s="191">
        <v>480879.27</v>
      </c>
      <c r="L8" s="191">
        <f aca="true" t="shared" si="1" ref="L8:L51">F8-K8</f>
        <v>227159.40000000002</v>
      </c>
      <c r="M8" s="250">
        <f aca="true" t="shared" si="2" ref="M8:M28">F8/K8</f>
        <v>1.472383432124242</v>
      </c>
      <c r="N8" s="191">
        <f>N9+N15+N18+N19+N20+N17</f>
        <v>76492.83</v>
      </c>
      <c r="O8" s="191">
        <f>O9+O15+O18+O19+O20+O17</f>
        <v>74517.83999999998</v>
      </c>
      <c r="P8" s="191">
        <f>O8-N8</f>
        <v>-1974.9900000000198</v>
      </c>
      <c r="Q8" s="191">
        <f>O8/N8*100</f>
        <v>97.41807173299769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f>374978.67+4100</f>
        <v>379078.67</v>
      </c>
      <c r="F9" s="196">
        <v>385326.41</v>
      </c>
      <c r="G9" s="190">
        <f t="shared" si="0"/>
        <v>6247.739999999991</v>
      </c>
      <c r="H9" s="197">
        <f>F9/E9*100</f>
        <v>101.64813810283759</v>
      </c>
      <c r="I9" s="198">
        <f>F9-D9</f>
        <v>-145262.59000000003</v>
      </c>
      <c r="J9" s="198">
        <f>F9/D9*100</f>
        <v>72.62238945775354</v>
      </c>
      <c r="K9" s="412">
        <v>264375.41</v>
      </c>
      <c r="L9" s="199">
        <f t="shared" si="1"/>
        <v>120951</v>
      </c>
      <c r="M9" s="251">
        <f t="shared" si="2"/>
        <v>1.4574971628412794</v>
      </c>
      <c r="N9" s="197">
        <f>E9-серпень!E9</f>
        <v>46785</v>
      </c>
      <c r="O9" s="200">
        <f>F9-серпень!F9</f>
        <v>45408.04999999999</v>
      </c>
      <c r="P9" s="201">
        <f>O9-N9</f>
        <v>-1376.9500000000116</v>
      </c>
      <c r="Q9" s="198">
        <f>O9/N9*100</f>
        <v>97.05685582985998</v>
      </c>
      <c r="R9" s="106"/>
      <c r="S9" s="107"/>
      <c r="T9" s="186">
        <f>D9-E9</f>
        <v>151510.33000000002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f>334470.24+4100</f>
        <v>338570.24</v>
      </c>
      <c r="F10" s="171">
        <v>339269.05</v>
      </c>
      <c r="G10" s="109">
        <f t="shared" si="0"/>
        <v>698.8099999999977</v>
      </c>
      <c r="H10" s="32">
        <f aca="true" t="shared" si="3" ref="H10:H36">F10/E10*100</f>
        <v>100.20640030263735</v>
      </c>
      <c r="I10" s="110">
        <f aca="true" t="shared" si="4" ref="I10:I37">F10-D10</f>
        <v>-145939.95</v>
      </c>
      <c r="J10" s="110">
        <f aca="true" t="shared" si="5" ref="J10:J36">F10/D10*100</f>
        <v>69.92224999948475</v>
      </c>
      <c r="K10" s="112">
        <v>233936.48</v>
      </c>
      <c r="L10" s="112">
        <f t="shared" si="1"/>
        <v>105332.56999999998</v>
      </c>
      <c r="M10" s="252">
        <f t="shared" si="2"/>
        <v>1.4502614128416396</v>
      </c>
      <c r="N10" s="111">
        <f>E10-серпень!E10</f>
        <v>43200</v>
      </c>
      <c r="O10" s="179">
        <f>F10-серпень!F10</f>
        <v>40595.640000000014</v>
      </c>
      <c r="P10" s="112">
        <f aca="true" t="shared" si="6" ref="P10:P37">O10-N10</f>
        <v>-2604.359999999986</v>
      </c>
      <c r="Q10" s="198">
        <f aca="true" t="shared" si="7" ref="Q10:Q16">O10/N10*100</f>
        <v>93.97138888888892</v>
      </c>
      <c r="R10" s="42"/>
      <c r="S10" s="100"/>
      <c r="T10" s="186">
        <f aca="true" t="shared" si="8" ref="T10:T73">D10-E10</f>
        <v>146638.76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21514.94</v>
      </c>
      <c r="F11" s="171">
        <v>28497.47</v>
      </c>
      <c r="G11" s="109">
        <f t="shared" si="0"/>
        <v>6982.5300000000025</v>
      </c>
      <c r="H11" s="32">
        <f t="shared" si="3"/>
        <v>132.4543317341345</v>
      </c>
      <c r="I11" s="110">
        <f t="shared" si="4"/>
        <v>5497.470000000001</v>
      </c>
      <c r="J11" s="110">
        <f t="shared" si="5"/>
        <v>123.90204347826088</v>
      </c>
      <c r="K11" s="112">
        <v>14002.69</v>
      </c>
      <c r="L11" s="112">
        <f t="shared" si="1"/>
        <v>14494.78</v>
      </c>
      <c r="M11" s="252">
        <f t="shared" si="2"/>
        <v>2.035142533327525</v>
      </c>
      <c r="N11" s="111">
        <f>E11-серпень!E11</f>
        <v>1800</v>
      </c>
      <c r="O11" s="179">
        <f>F11-серпень!F11</f>
        <v>3498.540000000001</v>
      </c>
      <c r="P11" s="112">
        <f t="shared" si="6"/>
        <v>1698.5400000000009</v>
      </c>
      <c r="Q11" s="198">
        <f t="shared" si="7"/>
        <v>194.36333333333337</v>
      </c>
      <c r="R11" s="42"/>
      <c r="S11" s="100"/>
      <c r="T11" s="186">
        <f t="shared" si="8"/>
        <v>1485.0600000000013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5880.61</v>
      </c>
      <c r="F12" s="171">
        <v>7409.72</v>
      </c>
      <c r="G12" s="109">
        <f t="shared" si="0"/>
        <v>1529.1100000000006</v>
      </c>
      <c r="H12" s="32">
        <f t="shared" si="3"/>
        <v>126.00257456284298</v>
      </c>
      <c r="I12" s="110">
        <f t="shared" si="4"/>
        <v>909.7200000000003</v>
      </c>
      <c r="J12" s="110">
        <f t="shared" si="5"/>
        <v>113.99569230769231</v>
      </c>
      <c r="K12" s="112">
        <v>3744.64</v>
      </c>
      <c r="L12" s="112">
        <f t="shared" si="1"/>
        <v>3665.0800000000004</v>
      </c>
      <c r="M12" s="252">
        <f t="shared" si="2"/>
        <v>1.9787536318578023</v>
      </c>
      <c r="N12" s="111">
        <f>E12-серпень!E12</f>
        <v>480</v>
      </c>
      <c r="O12" s="179">
        <f>F12-серпень!F12</f>
        <v>723.3299999999999</v>
      </c>
      <c r="P12" s="112">
        <f t="shared" si="6"/>
        <v>243.32999999999993</v>
      </c>
      <c r="Q12" s="198">
        <f t="shared" si="7"/>
        <v>150.69375</v>
      </c>
      <c r="R12" s="42"/>
      <c r="S12" s="100"/>
      <c r="T12" s="186">
        <f t="shared" si="8"/>
        <v>619.3900000000003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9664.84</v>
      </c>
      <c r="F13" s="171">
        <v>7511.25</v>
      </c>
      <c r="G13" s="109">
        <f t="shared" si="0"/>
        <v>-2153.59</v>
      </c>
      <c r="H13" s="32">
        <f t="shared" si="3"/>
        <v>77.7172720914159</v>
      </c>
      <c r="I13" s="110">
        <f t="shared" si="4"/>
        <v>-4888.75</v>
      </c>
      <c r="J13" s="110">
        <f t="shared" si="5"/>
        <v>60.574596774193544</v>
      </c>
      <c r="K13" s="112">
        <v>5730.24</v>
      </c>
      <c r="L13" s="112">
        <f t="shared" si="1"/>
        <v>1781.0100000000002</v>
      </c>
      <c r="M13" s="252">
        <f t="shared" si="2"/>
        <v>1.3108089713519853</v>
      </c>
      <c r="N13" s="111">
        <f>E13-серпень!E13</f>
        <v>1300</v>
      </c>
      <c r="O13" s="179">
        <f>F13-серпень!F13</f>
        <v>494</v>
      </c>
      <c r="P13" s="112">
        <f t="shared" si="6"/>
        <v>-806</v>
      </c>
      <c r="Q13" s="198">
        <f t="shared" si="7"/>
        <v>38</v>
      </c>
      <c r="R13" s="42"/>
      <c r="S13" s="100"/>
      <c r="T13" s="186">
        <f t="shared" si="8"/>
        <v>2735.16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3448.04</v>
      </c>
      <c r="F14" s="171">
        <v>2638.91</v>
      </c>
      <c r="G14" s="109">
        <f t="shared" si="0"/>
        <v>-809.1300000000001</v>
      </c>
      <c r="H14" s="32">
        <f t="shared" si="3"/>
        <v>76.53362489994315</v>
      </c>
      <c r="I14" s="110">
        <f t="shared" si="4"/>
        <v>-841.0900000000001</v>
      </c>
      <c r="J14" s="110">
        <f t="shared" si="5"/>
        <v>75.83074712643678</v>
      </c>
      <c r="K14" s="112">
        <v>6961.36</v>
      </c>
      <c r="L14" s="112">
        <f t="shared" si="1"/>
        <v>-4322.45</v>
      </c>
      <c r="M14" s="252">
        <f t="shared" si="2"/>
        <v>0.3790796625946654</v>
      </c>
      <c r="N14" s="111">
        <f>E14-серпень!E14</f>
        <v>5</v>
      </c>
      <c r="O14" s="179">
        <f>F14-серпень!F14</f>
        <v>96.52999999999975</v>
      </c>
      <c r="P14" s="112">
        <f t="shared" si="6"/>
        <v>91.52999999999975</v>
      </c>
      <c r="Q14" s="198">
        <f t="shared" si="7"/>
        <v>1930.5999999999947</v>
      </c>
      <c r="R14" s="42"/>
      <c r="S14" s="100"/>
      <c r="T14" s="186">
        <f t="shared" si="8"/>
        <v>31.960000000000036</v>
      </c>
      <c r="U14" s="273">
        <v>2880</v>
      </c>
      <c r="V14" s="186">
        <f>U14-T14</f>
        <v>2848.04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370</v>
      </c>
      <c r="F15" s="196">
        <v>386.82</v>
      </c>
      <c r="G15" s="190">
        <f t="shared" si="0"/>
        <v>16.819999999999993</v>
      </c>
      <c r="H15" s="197">
        <f>F15/E15*100</f>
        <v>104.54594594594595</v>
      </c>
      <c r="I15" s="198">
        <f t="shared" si="4"/>
        <v>-113.18</v>
      </c>
      <c r="J15" s="198">
        <f t="shared" si="5"/>
        <v>77.364</v>
      </c>
      <c r="K15" s="201">
        <v>-666.69</v>
      </c>
      <c r="L15" s="201">
        <f t="shared" si="1"/>
        <v>1053.51</v>
      </c>
      <c r="M15" s="253">
        <f t="shared" si="2"/>
        <v>-0.5802096926607568</v>
      </c>
      <c r="N15" s="197">
        <f>E15-серпень!E15</f>
        <v>5</v>
      </c>
      <c r="O15" s="200">
        <f>F15-серпень!F15</f>
        <v>1.5600000000000023</v>
      </c>
      <c r="P15" s="201">
        <f t="shared" si="6"/>
        <v>-3.4399999999999977</v>
      </c>
      <c r="Q15" s="198">
        <f t="shared" si="7"/>
        <v>31.200000000000045</v>
      </c>
      <c r="R15" s="42"/>
      <c r="S15" s="100"/>
      <c r="T15" s="186">
        <f t="shared" si="8"/>
        <v>130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E16-серпень!E16</f>
        <v>0</v>
      </c>
      <c r="O16" s="200">
        <f>F16-серпень!F16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204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E17-серпень!E17</f>
        <v>0</v>
      </c>
      <c r="O17" s="200">
        <f>F17-серпень!F17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205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E18-серпень!E18</f>
        <v>0</v>
      </c>
      <c r="O18" s="200">
        <f>F18-серпень!F18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80060.4</v>
      </c>
      <c r="F19" s="196">
        <v>74352.8</v>
      </c>
      <c r="G19" s="190">
        <f t="shared" si="0"/>
        <v>-5707.599999999991</v>
      </c>
      <c r="H19" s="197">
        <f t="shared" si="3"/>
        <v>92.8708824837248</v>
      </c>
      <c r="I19" s="198">
        <f t="shared" si="4"/>
        <v>-35547.2</v>
      </c>
      <c r="J19" s="198">
        <f t="shared" si="5"/>
        <v>67.65495905368518</v>
      </c>
      <c r="K19" s="209">
        <v>51468.87</v>
      </c>
      <c r="L19" s="201">
        <f t="shared" si="1"/>
        <v>22883.93</v>
      </c>
      <c r="M19" s="259">
        <f t="shared" si="2"/>
        <v>1.4446169111542568</v>
      </c>
      <c r="N19" s="197">
        <f>E19-серпень!E19</f>
        <v>10800</v>
      </c>
      <c r="O19" s="200">
        <f>F19-серпень!F19</f>
        <v>9916.520000000004</v>
      </c>
      <c r="P19" s="201">
        <f t="shared" si="6"/>
        <v>-883.4799999999959</v>
      </c>
      <c r="Q19" s="198">
        <f aca="true" t="shared" si="9" ref="Q19:Q24">O19/N19*100</f>
        <v>91.81962962962966</v>
      </c>
      <c r="R19" s="113"/>
      <c r="S19" s="114"/>
      <c r="T19" s="186">
        <f t="shared" si="8"/>
        <v>29839.600000000006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315976.65</v>
      </c>
      <c r="E20" s="190">
        <f>E21+E30+E32+E29</f>
        <v>246235.94</v>
      </c>
      <c r="F20" s="272">
        <f>F21+F29+F30+F31+F32</f>
        <v>247866.66999999998</v>
      </c>
      <c r="G20" s="190">
        <f t="shared" si="0"/>
        <v>1630.7299999999814</v>
      </c>
      <c r="H20" s="197">
        <f t="shared" si="3"/>
        <v>100.66226319358577</v>
      </c>
      <c r="I20" s="198">
        <f t="shared" si="4"/>
        <v>-68109.98000000004</v>
      </c>
      <c r="J20" s="198">
        <f t="shared" si="5"/>
        <v>78.44461608159969</v>
      </c>
      <c r="K20" s="198">
        <v>160106.6</v>
      </c>
      <c r="L20" s="201">
        <f t="shared" si="1"/>
        <v>87760.06999999998</v>
      </c>
      <c r="M20" s="254">
        <f t="shared" si="2"/>
        <v>1.5481352423947543</v>
      </c>
      <c r="N20" s="197">
        <f>N21+N30+N31+N32</f>
        <v>18902.83</v>
      </c>
      <c r="O20" s="200">
        <f>F20-серпень!F20</f>
        <v>19191.709999999992</v>
      </c>
      <c r="P20" s="201">
        <f t="shared" si="6"/>
        <v>288.8799999999901</v>
      </c>
      <c r="Q20" s="198">
        <f t="shared" si="9"/>
        <v>101.5282367772444</v>
      </c>
      <c r="R20" s="113"/>
      <c r="S20" s="114"/>
      <c r="T20" s="186">
        <f t="shared" si="8"/>
        <v>69740.71000000002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134080.79</v>
      </c>
      <c r="F21" s="211">
        <f>F22+F25+F26</f>
        <v>135815.81</v>
      </c>
      <c r="G21" s="190">
        <f t="shared" si="0"/>
        <v>1735.0199999999895</v>
      </c>
      <c r="H21" s="197">
        <f t="shared" si="3"/>
        <v>101.29401087210181</v>
      </c>
      <c r="I21" s="198">
        <f t="shared" si="4"/>
        <v>-39083.84</v>
      </c>
      <c r="J21" s="198">
        <f t="shared" si="5"/>
        <v>77.65356305744466</v>
      </c>
      <c r="K21" s="198">
        <v>88979.33</v>
      </c>
      <c r="L21" s="201">
        <f t="shared" si="1"/>
        <v>46836.479999999996</v>
      </c>
      <c r="M21" s="254">
        <f t="shared" si="2"/>
        <v>1.5263748333461264</v>
      </c>
      <c r="N21" s="197">
        <f>N22+N25+N26</f>
        <v>13311.830000000004</v>
      </c>
      <c r="O21" s="200">
        <f>F21-серпень!F21</f>
        <v>14135.839999999997</v>
      </c>
      <c r="P21" s="201">
        <f t="shared" si="6"/>
        <v>824.0099999999929</v>
      </c>
      <c r="Q21" s="198">
        <f t="shared" si="9"/>
        <v>106.19005801606536</v>
      </c>
      <c r="R21" s="113"/>
      <c r="S21" s="114"/>
      <c r="T21" s="186">
        <f t="shared" si="8"/>
        <v>40818.859999999986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15124.48</v>
      </c>
      <c r="F22" s="213">
        <v>15758.82</v>
      </c>
      <c r="G22" s="212">
        <f t="shared" si="0"/>
        <v>634.3400000000001</v>
      </c>
      <c r="H22" s="214">
        <f t="shared" si="3"/>
        <v>104.19412766587676</v>
      </c>
      <c r="I22" s="215">
        <f t="shared" si="4"/>
        <v>-2741.1800000000003</v>
      </c>
      <c r="J22" s="215">
        <f t="shared" si="5"/>
        <v>85.1828108108108</v>
      </c>
      <c r="K22" s="216">
        <v>9131.68</v>
      </c>
      <c r="L22" s="206">
        <f t="shared" si="1"/>
        <v>6627.139999999999</v>
      </c>
      <c r="M22" s="262">
        <f t="shared" si="2"/>
        <v>1.7257306432113257</v>
      </c>
      <c r="N22" s="214">
        <f>E22-серпень!E22</f>
        <v>547.5799999999999</v>
      </c>
      <c r="O22" s="217">
        <f>F22-серпень!F22</f>
        <v>885.3500000000004</v>
      </c>
      <c r="P22" s="218">
        <f t="shared" si="6"/>
        <v>337.77000000000044</v>
      </c>
      <c r="Q22" s="215">
        <f t="shared" si="9"/>
        <v>161.68413747762892</v>
      </c>
      <c r="R22" s="113"/>
      <c r="S22" s="114"/>
      <c r="T22" s="186">
        <f t="shared" si="8"/>
        <v>3375.5200000000004</v>
      </c>
      <c r="U22" s="186"/>
    </row>
    <row r="23" spans="1:21" s="6" customFormat="1" ht="18">
      <c r="A23" s="8"/>
      <c r="B23" s="237" t="s">
        <v>164</v>
      </c>
      <c r="C23" s="238"/>
      <c r="D23" s="241">
        <v>2000</v>
      </c>
      <c r="E23" s="241">
        <v>1024.4</v>
      </c>
      <c r="F23" s="203">
        <v>668.85</v>
      </c>
      <c r="G23" s="241">
        <f t="shared" si="0"/>
        <v>-355.55000000000007</v>
      </c>
      <c r="H23" s="242">
        <f t="shared" si="3"/>
        <v>65.29187817258882</v>
      </c>
      <c r="I23" s="243">
        <f t="shared" si="4"/>
        <v>-1331.15</v>
      </c>
      <c r="J23" s="243">
        <f t="shared" si="5"/>
        <v>33.4425</v>
      </c>
      <c r="K23" s="261">
        <v>574.07</v>
      </c>
      <c r="L23" s="261">
        <f t="shared" si="1"/>
        <v>94.77999999999997</v>
      </c>
      <c r="M23" s="263">
        <f t="shared" si="2"/>
        <v>1.1651018168516034</v>
      </c>
      <c r="N23" s="239">
        <f>E23-серпень!E23</f>
        <v>150.0000000000001</v>
      </c>
      <c r="O23" s="239">
        <f>F23-серпень!F23</f>
        <v>45.210000000000036</v>
      </c>
      <c r="P23" s="240">
        <f t="shared" si="6"/>
        <v>-104.79000000000008</v>
      </c>
      <c r="Q23" s="240">
        <f t="shared" si="9"/>
        <v>30.14</v>
      </c>
      <c r="R23" s="113"/>
      <c r="S23" s="114"/>
      <c r="T23" s="186">
        <f t="shared" si="8"/>
        <v>975.5999999999999</v>
      </c>
      <c r="U23" s="186"/>
    </row>
    <row r="24" spans="1:21" s="6" customFormat="1" ht="18">
      <c r="A24" s="8"/>
      <c r="B24" s="237" t="s">
        <v>165</v>
      </c>
      <c r="C24" s="238"/>
      <c r="D24" s="241">
        <v>16500</v>
      </c>
      <c r="E24" s="241">
        <v>14100.08</v>
      </c>
      <c r="F24" s="203">
        <v>15089.97</v>
      </c>
      <c r="G24" s="241">
        <f t="shared" si="0"/>
        <v>989.8899999999994</v>
      </c>
      <c r="H24" s="242">
        <f t="shared" si="3"/>
        <v>107.02045662152271</v>
      </c>
      <c r="I24" s="243">
        <f t="shared" si="4"/>
        <v>-1410.0300000000007</v>
      </c>
      <c r="J24" s="243">
        <f t="shared" si="5"/>
        <v>91.45436363636364</v>
      </c>
      <c r="K24" s="261">
        <v>8557.61</v>
      </c>
      <c r="L24" s="261">
        <f t="shared" si="1"/>
        <v>6532.359999999999</v>
      </c>
      <c r="M24" s="263">
        <f t="shared" si="2"/>
        <v>1.7633392968363828</v>
      </c>
      <c r="N24" s="239">
        <f>E24-серпень!E24</f>
        <v>397.5799999999999</v>
      </c>
      <c r="O24" s="239">
        <f>F24-серпень!F24</f>
        <v>840.1399999999994</v>
      </c>
      <c r="P24" s="240">
        <f t="shared" si="6"/>
        <v>442.5599999999995</v>
      </c>
      <c r="Q24" s="240">
        <f t="shared" si="9"/>
        <v>211.31344635041995</v>
      </c>
      <c r="R24" s="113"/>
      <c r="S24" s="114"/>
      <c r="T24" s="186">
        <f t="shared" si="8"/>
        <v>2399.92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927.34</v>
      </c>
      <c r="F25" s="213">
        <v>777.34</v>
      </c>
      <c r="G25" s="212">
        <f t="shared" si="0"/>
        <v>-150</v>
      </c>
      <c r="H25" s="214">
        <f t="shared" si="3"/>
        <v>83.82470291371018</v>
      </c>
      <c r="I25" s="215">
        <f t="shared" si="4"/>
        <v>-222.65999999999997</v>
      </c>
      <c r="J25" s="215">
        <f t="shared" si="5"/>
        <v>77.73400000000001</v>
      </c>
      <c r="K25" s="215">
        <v>3333.63</v>
      </c>
      <c r="L25" s="215">
        <f t="shared" si="1"/>
        <v>-2556.29</v>
      </c>
      <c r="M25" s="257">
        <f t="shared" si="2"/>
        <v>0.23318124686902866</v>
      </c>
      <c r="N25" s="214">
        <f>E25-серпень!E25</f>
        <v>34.200000000000045</v>
      </c>
      <c r="O25" s="217">
        <f>F25-серпень!F25</f>
        <v>108.34000000000003</v>
      </c>
      <c r="P25" s="218">
        <f t="shared" si="6"/>
        <v>74.13999999999999</v>
      </c>
      <c r="Q25" s="215"/>
      <c r="R25" s="113"/>
      <c r="S25" s="114"/>
      <c r="T25" s="186">
        <f t="shared" si="8"/>
        <v>72.65999999999997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118028.97</v>
      </c>
      <c r="F26" s="213">
        <v>119279.65</v>
      </c>
      <c r="G26" s="212">
        <f t="shared" si="0"/>
        <v>1250.679999999993</v>
      </c>
      <c r="H26" s="214">
        <f t="shared" si="3"/>
        <v>101.05963815493773</v>
      </c>
      <c r="I26" s="215">
        <f t="shared" si="4"/>
        <v>-36120</v>
      </c>
      <c r="J26" s="215">
        <f t="shared" si="5"/>
        <v>76.7567044069919</v>
      </c>
      <c r="K26" s="216">
        <v>76514.01</v>
      </c>
      <c r="L26" s="216">
        <f t="shared" si="1"/>
        <v>42765.64</v>
      </c>
      <c r="M26" s="256">
        <f t="shared" si="2"/>
        <v>1.558925613753612</v>
      </c>
      <c r="N26" s="214">
        <f>E26-серпень!E26</f>
        <v>12730.050000000003</v>
      </c>
      <c r="O26" s="217">
        <f>F26-серпень!F26</f>
        <v>13142.149999999994</v>
      </c>
      <c r="P26" s="218">
        <f t="shared" si="6"/>
        <v>412.09999999999127</v>
      </c>
      <c r="Q26" s="215">
        <f>O26/N26*100</f>
        <v>103.23722216330644</v>
      </c>
      <c r="R26" s="113"/>
      <c r="S26" s="114"/>
      <c r="T26" s="186">
        <f t="shared" si="8"/>
        <v>37370.67999999999</v>
      </c>
    </row>
    <row r="27" spans="1:20" s="6" customFormat="1" ht="18">
      <c r="A27" s="8"/>
      <c r="B27" s="237" t="s">
        <v>166</v>
      </c>
      <c r="C27" s="238"/>
      <c r="D27" s="241">
        <v>47367</v>
      </c>
      <c r="E27" s="241">
        <v>36881.8</v>
      </c>
      <c r="F27" s="203">
        <v>37996.12</v>
      </c>
      <c r="G27" s="241">
        <f t="shared" si="0"/>
        <v>1114.3199999999997</v>
      </c>
      <c r="H27" s="242">
        <f t="shared" si="3"/>
        <v>103.0213275924711</v>
      </c>
      <c r="I27" s="243">
        <f t="shared" si="4"/>
        <v>-9370.879999999997</v>
      </c>
      <c r="J27" s="243">
        <f t="shared" si="5"/>
        <v>80.21643760423925</v>
      </c>
      <c r="K27" s="261">
        <v>20770.43</v>
      </c>
      <c r="L27" s="261">
        <f t="shared" si="1"/>
        <v>17225.690000000002</v>
      </c>
      <c r="M27" s="263">
        <f t="shared" si="2"/>
        <v>1.8293371875305424</v>
      </c>
      <c r="N27" s="239">
        <f>E27-серпень!E27</f>
        <v>3590.050000000003</v>
      </c>
      <c r="O27" s="239">
        <f>F27-серпень!F27</f>
        <v>3958.300000000003</v>
      </c>
      <c r="P27" s="240">
        <f t="shared" si="6"/>
        <v>368.25</v>
      </c>
      <c r="Q27" s="240">
        <f>O27/N27*100</f>
        <v>110.25751730477292</v>
      </c>
      <c r="R27" s="113"/>
      <c r="S27" s="114"/>
      <c r="T27" s="186">
        <f t="shared" si="8"/>
        <v>10485.199999999997</v>
      </c>
    </row>
    <row r="28" spans="1:20" s="6" customFormat="1" ht="18">
      <c r="A28" s="8"/>
      <c r="B28" s="237" t="s">
        <v>167</v>
      </c>
      <c r="C28" s="238"/>
      <c r="D28" s="241">
        <v>108032.65</v>
      </c>
      <c r="E28" s="241">
        <v>81147.17</v>
      </c>
      <c r="F28" s="203">
        <v>81283.52</v>
      </c>
      <c r="G28" s="241">
        <f t="shared" si="0"/>
        <v>136.35000000000582</v>
      </c>
      <c r="H28" s="242">
        <f t="shared" si="3"/>
        <v>100.16802804090396</v>
      </c>
      <c r="I28" s="243">
        <f t="shared" si="4"/>
        <v>-26749.12999999999</v>
      </c>
      <c r="J28" s="243">
        <f t="shared" si="5"/>
        <v>75.23977242065247</v>
      </c>
      <c r="K28" s="261">
        <v>55743.59</v>
      </c>
      <c r="L28" s="261">
        <f t="shared" si="1"/>
        <v>25539.930000000008</v>
      </c>
      <c r="M28" s="263">
        <f t="shared" si="2"/>
        <v>1.4581680153718124</v>
      </c>
      <c r="N28" s="239">
        <f>E28-серпень!E28</f>
        <v>9140</v>
      </c>
      <c r="O28" s="239">
        <f>F28-серпень!F28</f>
        <v>9183.850000000006</v>
      </c>
      <c r="P28" s="240">
        <f t="shared" si="6"/>
        <v>43.85000000000582</v>
      </c>
      <c r="Q28" s="240">
        <f>O28/N28*100</f>
        <v>100.47975929978124</v>
      </c>
      <c r="R28" s="113"/>
      <c r="S28" s="114"/>
      <c r="T28" s="186">
        <f t="shared" si="8"/>
        <v>26885.479999999996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197">
        <f>E29-серпень!E29</f>
        <v>0</v>
      </c>
      <c r="O29" s="200">
        <f>F29-серпень!F29</f>
        <v>0</v>
      </c>
      <c r="P29" s="201">
        <f t="shared" si="6"/>
        <v>0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55.31</v>
      </c>
      <c r="F30" s="196">
        <v>87.95</v>
      </c>
      <c r="G30" s="190">
        <f t="shared" si="0"/>
        <v>32.64</v>
      </c>
      <c r="H30" s="197">
        <f t="shared" si="3"/>
        <v>159.01283673838364</v>
      </c>
      <c r="I30" s="198">
        <f t="shared" si="4"/>
        <v>10.950000000000003</v>
      </c>
      <c r="J30" s="198">
        <f t="shared" si="5"/>
        <v>114.22077922077922</v>
      </c>
      <c r="K30" s="198">
        <v>55.85</v>
      </c>
      <c r="L30" s="198">
        <f t="shared" si="1"/>
        <v>32.1</v>
      </c>
      <c r="M30" s="255">
        <f>F30/K30</f>
        <v>1.5747538048343779</v>
      </c>
      <c r="N30" s="197">
        <f>E30-серпень!E30</f>
        <v>7</v>
      </c>
      <c r="O30" s="200">
        <f>F30-серпень!F30</f>
        <v>2</v>
      </c>
      <c r="P30" s="201">
        <f t="shared" si="6"/>
        <v>-5</v>
      </c>
      <c r="Q30" s="198">
        <f>O30/N30*100</f>
        <v>28.57142857142857</v>
      </c>
      <c r="R30" s="113"/>
      <c r="S30" s="114"/>
      <c r="T30" s="186">
        <f t="shared" si="8"/>
        <v>21.689999999999998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-160.1</v>
      </c>
      <c r="G31" s="190">
        <f t="shared" si="0"/>
        <v>-160.1</v>
      </c>
      <c r="H31" s="197"/>
      <c r="I31" s="198">
        <f t="shared" si="4"/>
        <v>-160.1</v>
      </c>
      <c r="J31" s="198"/>
      <c r="K31" s="198">
        <v>-705.98</v>
      </c>
      <c r="L31" s="198">
        <f t="shared" si="1"/>
        <v>545.88</v>
      </c>
      <c r="M31" s="255">
        <f>F31/K31</f>
        <v>0.2267769625201847</v>
      </c>
      <c r="N31" s="197">
        <f>E31-серпень!E31</f>
        <v>0</v>
      </c>
      <c r="O31" s="200">
        <f>F31-серпень!F31</f>
        <v>-9.870000000000005</v>
      </c>
      <c r="P31" s="201">
        <f t="shared" si="6"/>
        <v>-9.870000000000005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f>118000+23000</f>
        <v>141000</v>
      </c>
      <c r="E32" s="202">
        <f>110699.84+1500-100</f>
        <v>112099.84</v>
      </c>
      <c r="F32" s="203">
        <v>112122.86</v>
      </c>
      <c r="G32" s="202">
        <f t="shared" si="0"/>
        <v>23.020000000004075</v>
      </c>
      <c r="H32" s="204">
        <f t="shared" si="3"/>
        <v>100.020535265706</v>
      </c>
      <c r="I32" s="205">
        <f t="shared" si="4"/>
        <v>-28877.14</v>
      </c>
      <c r="J32" s="205">
        <f t="shared" si="5"/>
        <v>79.51975886524822</v>
      </c>
      <c r="K32" s="219">
        <v>71777.4</v>
      </c>
      <c r="L32" s="219">
        <f>F32-K32</f>
        <v>40345.46000000001</v>
      </c>
      <c r="M32" s="411">
        <f>F32/K32</f>
        <v>1.5620914103882282</v>
      </c>
      <c r="N32" s="197">
        <f>E32-серпень!E32</f>
        <v>5584</v>
      </c>
      <c r="O32" s="200">
        <f>F32-серпень!F32</f>
        <v>5063.740000000005</v>
      </c>
      <c r="P32" s="207">
        <f t="shared" si="6"/>
        <v>-520.2599999999948</v>
      </c>
      <c r="Q32" s="205">
        <f>O32/N32*100</f>
        <v>90.6830229226362</v>
      </c>
      <c r="R32" s="113"/>
      <c r="S32" s="114"/>
      <c r="T32" s="186">
        <f t="shared" si="8"/>
        <v>28900.160000000003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-1.17</v>
      </c>
      <c r="L33" s="142">
        <f t="shared" si="1"/>
        <v>1.4</v>
      </c>
      <c r="M33" s="264">
        <f aca="true" t="shared" si="10" ref="M33:M39">F33/K33</f>
        <v>-0.1965811965811966</v>
      </c>
      <c r="N33" s="111">
        <f>E33-серпень!E33</f>
        <v>0</v>
      </c>
      <c r="O33" s="179">
        <f>F33-серпень!F33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f>28217+6000</f>
        <v>34217</v>
      </c>
      <c r="E34" s="109">
        <f>27862.97+500</f>
        <v>28362.97</v>
      </c>
      <c r="F34" s="171">
        <v>28340.41</v>
      </c>
      <c r="G34" s="109">
        <f t="shared" si="0"/>
        <v>-22.56000000000131</v>
      </c>
      <c r="H34" s="111">
        <f t="shared" si="3"/>
        <v>99.92045966977365</v>
      </c>
      <c r="I34" s="110">
        <f t="shared" si="4"/>
        <v>-5876.59</v>
      </c>
      <c r="J34" s="110">
        <f t="shared" si="5"/>
        <v>82.82552532366952</v>
      </c>
      <c r="K34" s="142">
        <v>17739.76</v>
      </c>
      <c r="L34" s="142">
        <f t="shared" si="1"/>
        <v>10600.650000000001</v>
      </c>
      <c r="M34" s="264">
        <f t="shared" si="10"/>
        <v>1.597564454085061</v>
      </c>
      <c r="N34" s="111">
        <f>E34-серпень!E34</f>
        <v>1400</v>
      </c>
      <c r="O34" s="179">
        <f>F34-серпень!F34</f>
        <v>957.3299999999981</v>
      </c>
      <c r="P34" s="112">
        <f t="shared" si="6"/>
        <v>-442.6700000000019</v>
      </c>
      <c r="Q34" s="110">
        <f>O34/N34*100</f>
        <v>68.38071428571415</v>
      </c>
      <c r="R34" s="113"/>
      <c r="S34" s="114"/>
      <c r="T34" s="186">
        <f t="shared" si="8"/>
        <v>5854.029999999999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f>89732+17000</f>
        <v>106732</v>
      </c>
      <c r="E35" s="109">
        <f>82820.08+1000-100</f>
        <v>83720.08</v>
      </c>
      <c r="F35" s="171">
        <v>83755.8</v>
      </c>
      <c r="G35" s="109">
        <f t="shared" si="0"/>
        <v>35.720000000001164</v>
      </c>
      <c r="H35" s="111">
        <f t="shared" si="3"/>
        <v>100.04266598885239</v>
      </c>
      <c r="I35" s="110">
        <f t="shared" si="4"/>
        <v>-22976.199999999997</v>
      </c>
      <c r="J35" s="110">
        <f t="shared" si="5"/>
        <v>78.47299778885433</v>
      </c>
      <c r="K35" s="142">
        <v>54015.97</v>
      </c>
      <c r="L35" s="142">
        <f t="shared" si="1"/>
        <v>29739.83</v>
      </c>
      <c r="M35" s="264">
        <f t="shared" si="10"/>
        <v>1.550574765203698</v>
      </c>
      <c r="N35" s="111">
        <f>E35-серпень!E35</f>
        <v>4184</v>
      </c>
      <c r="O35" s="179">
        <f>F35-серпень!F35</f>
        <v>4105</v>
      </c>
      <c r="P35" s="112">
        <f t="shared" si="6"/>
        <v>-79</v>
      </c>
      <c r="Q35" s="110">
        <f>O35/N35*100</f>
        <v>98.11185468451242</v>
      </c>
      <c r="R35" s="113"/>
      <c r="S35" s="114"/>
      <c r="T35" s="186">
        <f t="shared" si="8"/>
        <v>23011.92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26.42</v>
      </c>
      <c r="G36" s="109">
        <f t="shared" si="0"/>
        <v>9.630000000000003</v>
      </c>
      <c r="H36" s="111">
        <f t="shared" si="3"/>
        <v>157.35556879094702</v>
      </c>
      <c r="I36" s="110">
        <f t="shared" si="4"/>
        <v>-24.58</v>
      </c>
      <c r="J36" s="110">
        <f t="shared" si="5"/>
        <v>51.80392156862745</v>
      </c>
      <c r="K36" s="142">
        <v>22.84</v>
      </c>
      <c r="L36" s="142">
        <f t="shared" si="1"/>
        <v>3.580000000000002</v>
      </c>
      <c r="M36" s="264">
        <f t="shared" si="10"/>
        <v>1.1567425569176883</v>
      </c>
      <c r="N36" s="111">
        <f>E36-серпень!E36</f>
        <v>0</v>
      </c>
      <c r="O36" s="179">
        <f>F36-серпень!F36</f>
        <v>1.4200000000000017</v>
      </c>
      <c r="P36" s="112">
        <f t="shared" si="6"/>
        <v>1.4200000000000017</v>
      </c>
      <c r="Q36" s="110"/>
      <c r="R36" s="113"/>
      <c r="S36" s="114"/>
      <c r="T36" s="186">
        <f t="shared" si="8"/>
        <v>34.21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5579.18</v>
      </c>
      <c r="L37" s="132">
        <f t="shared" si="1"/>
        <v>-5579.18</v>
      </c>
      <c r="M37" s="265">
        <f t="shared" si="10"/>
        <v>0</v>
      </c>
      <c r="N37" s="32">
        <v>0</v>
      </c>
      <c r="O37" s="179">
        <f>F37-серпень!F37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61842.48</v>
      </c>
      <c r="E38" s="191">
        <f>E39+E40+E41+E42+E43+E45+E47+E48+E49+E50+E51+E56+E57+E61+E44</f>
        <v>49125.03</v>
      </c>
      <c r="F38" s="191">
        <f>F39+F40+F41+F42+F43+F45+F47+F48+F49+F50+F51+F56+F57+F61+F44</f>
        <v>49446.89000000001</v>
      </c>
      <c r="G38" s="191">
        <f>G39+G40+G41+G42+G43+G45+G47+G48+G49+G50+G51+G56+G57+G61</f>
        <v>294.7100000000019</v>
      </c>
      <c r="H38" s="192">
        <f>F38/E38*100</f>
        <v>100.65518535052296</v>
      </c>
      <c r="I38" s="193">
        <f>F38-D38</f>
        <v>-12395.589999999997</v>
      </c>
      <c r="J38" s="193">
        <f>F38/D38*100</f>
        <v>79.95618869100981</v>
      </c>
      <c r="K38" s="191">
        <v>28244.63</v>
      </c>
      <c r="L38" s="191">
        <f t="shared" si="1"/>
        <v>21202.260000000006</v>
      </c>
      <c r="M38" s="250">
        <f t="shared" si="10"/>
        <v>1.7506651706890834</v>
      </c>
      <c r="N38" s="191">
        <f>N39+N40+N41+N42+N43+N45+N47+N48+N49+N50+N51+N56+N57+N61+N44</f>
        <v>6064</v>
      </c>
      <c r="O38" s="191">
        <f>O39+O40+O41+O42+O43+O45+O47+O48+O49+O50+O51+O56+O57+O61+O44</f>
        <v>6458.610000000001</v>
      </c>
      <c r="P38" s="191">
        <f>P39+P40+P41+P42+P43+P45+P47+P48+P49+P50+P51+P56+P57+P61</f>
        <v>394.61000000000104</v>
      </c>
      <c r="Q38" s="191">
        <f>O38/N38*100</f>
        <v>106.50742084432719</v>
      </c>
      <c r="R38" s="15" t="e">
        <f>#N/A</f>
        <v>#N/A</v>
      </c>
      <c r="S38" s="15" t="e">
        <f>#N/A</f>
        <v>#N/A</v>
      </c>
      <c r="T38" s="186">
        <f t="shared" si="8"/>
        <v>12717.450000000004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383</v>
      </c>
      <c r="F39" s="196">
        <v>420.88</v>
      </c>
      <c r="G39" s="202">
        <f>F39-E39</f>
        <v>37.879999999999995</v>
      </c>
      <c r="H39" s="204">
        <f aca="true" t="shared" si="11" ref="H39:H62">F39/E39*100</f>
        <v>109.89033942558746</v>
      </c>
      <c r="I39" s="205">
        <f>F39-D39</f>
        <v>20.879999999999995</v>
      </c>
      <c r="J39" s="205">
        <f>F39/D39*100</f>
        <v>105.22</v>
      </c>
      <c r="K39" s="205">
        <v>-60.36</v>
      </c>
      <c r="L39" s="205">
        <f t="shared" si="1"/>
        <v>481.24</v>
      </c>
      <c r="M39" s="266">
        <f t="shared" si="10"/>
        <v>-6.972829688535454</v>
      </c>
      <c r="N39" s="204">
        <f>E39-серпень!E39</f>
        <v>3</v>
      </c>
      <c r="O39" s="208">
        <f>F39-серпень!F39</f>
        <v>4.0400000000000205</v>
      </c>
      <c r="P39" s="207">
        <f>O39-N39</f>
        <v>1.0400000000000205</v>
      </c>
      <c r="Q39" s="205">
        <f aca="true" t="shared" si="12" ref="Q39:Q62">O39/N39*100</f>
        <v>134.66666666666737</v>
      </c>
      <c r="R39" s="42"/>
      <c r="S39" s="100"/>
      <c r="T39" s="186">
        <f t="shared" si="8"/>
        <v>17</v>
      </c>
    </row>
    <row r="40" spans="1:20" s="6" customFormat="1" ht="30.75">
      <c r="A40" s="8"/>
      <c r="B40" s="144" t="s">
        <v>80</v>
      </c>
      <c r="C40" s="47">
        <v>21050000</v>
      </c>
      <c r="D40" s="190">
        <f>25000+5007</f>
        <v>30007</v>
      </c>
      <c r="E40" s="190">
        <f>23237+929</f>
        <v>24166</v>
      </c>
      <c r="F40" s="196">
        <v>24166.13</v>
      </c>
      <c r="G40" s="202">
        <f aca="true" t="shared" si="13" ref="G40:G63">F40-E40</f>
        <v>0.13000000000101863</v>
      </c>
      <c r="H40" s="204">
        <f t="shared" si="11"/>
        <v>100.00053794587438</v>
      </c>
      <c r="I40" s="205">
        <f aca="true" t="shared" si="14" ref="I40:I63">F40-D40</f>
        <v>-5840.869999999999</v>
      </c>
      <c r="J40" s="205">
        <f>F40/D40*100</f>
        <v>80.53497517245977</v>
      </c>
      <c r="K40" s="205">
        <v>4154.01</v>
      </c>
      <c r="L40" s="205">
        <f t="shared" si="1"/>
        <v>20012.120000000003</v>
      </c>
      <c r="M40" s="266"/>
      <c r="N40" s="204">
        <f>E40-серпень!E40</f>
        <v>3699</v>
      </c>
      <c r="O40" s="208">
        <f>F40-серпень!F40-0.01</f>
        <v>3605.9400000000005</v>
      </c>
      <c r="P40" s="207">
        <f aca="true" t="shared" si="15" ref="P40:P63">O40-N40</f>
        <v>-93.05999999999949</v>
      </c>
      <c r="Q40" s="205">
        <f t="shared" si="12"/>
        <v>97.48418491484186</v>
      </c>
      <c r="R40" s="42"/>
      <c r="S40" s="100"/>
      <c r="T40" s="186">
        <f t="shared" si="8"/>
        <v>5841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31.98</v>
      </c>
      <c r="G41" s="202">
        <f t="shared" si="13"/>
        <v>-79.46</v>
      </c>
      <c r="H41" s="204">
        <f t="shared" si="11"/>
        <v>28.697056712132092</v>
      </c>
      <c r="I41" s="205">
        <f t="shared" si="14"/>
        <v>-79.46</v>
      </c>
      <c r="J41" s="205">
        <f aca="true" t="shared" si="16" ref="J41:J62">F41/D41*100</f>
        <v>28.697056712132092</v>
      </c>
      <c r="K41" s="205">
        <v>321.98</v>
      </c>
      <c r="L41" s="205">
        <f t="shared" si="1"/>
        <v>-290</v>
      </c>
      <c r="M41" s="266">
        <f aca="true" t="shared" si="17" ref="M41:M63">F41/K41</f>
        <v>0.0993229393130008</v>
      </c>
      <c r="N41" s="204">
        <f>E41-серпень!E41</f>
        <v>0</v>
      </c>
      <c r="O41" s="208">
        <f>F41-серпень!F41</f>
        <v>3.91</v>
      </c>
      <c r="P41" s="207">
        <f t="shared" si="15"/>
        <v>3.91</v>
      </c>
      <c r="Q41" s="205"/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E42-серпень!E42</f>
        <v>0</v>
      </c>
      <c r="O42" s="208">
        <f>F42-серпень!F42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90</v>
      </c>
      <c r="F43" s="196">
        <v>197.12</v>
      </c>
      <c r="G43" s="202">
        <f t="shared" si="13"/>
        <v>107.12</v>
      </c>
      <c r="H43" s="204">
        <f t="shared" si="11"/>
        <v>219.02222222222224</v>
      </c>
      <c r="I43" s="205">
        <f t="shared" si="14"/>
        <v>47.120000000000005</v>
      </c>
      <c r="J43" s="205">
        <f t="shared" si="16"/>
        <v>131.41333333333333</v>
      </c>
      <c r="K43" s="205">
        <v>117.11</v>
      </c>
      <c r="L43" s="205">
        <f t="shared" si="1"/>
        <v>80.01</v>
      </c>
      <c r="M43" s="266">
        <f t="shared" si="17"/>
        <v>1.6832038254632398</v>
      </c>
      <c r="N43" s="204">
        <f>E43-серпень!E43</f>
        <v>10</v>
      </c>
      <c r="O43" s="208">
        <f>F43-серпень!F43</f>
        <v>2</v>
      </c>
      <c r="P43" s="207">
        <f t="shared" si="15"/>
        <v>-8</v>
      </c>
      <c r="Q43" s="205">
        <f t="shared" si="12"/>
        <v>20</v>
      </c>
      <c r="R43" s="42"/>
      <c r="S43" s="100"/>
      <c r="T43" s="186">
        <f t="shared" si="8"/>
        <v>60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41.15</v>
      </c>
      <c r="G44" s="202">
        <f t="shared" si="13"/>
        <v>27.15</v>
      </c>
      <c r="H44" s="204"/>
      <c r="I44" s="205">
        <f t="shared" si="14"/>
        <v>27.15</v>
      </c>
      <c r="J44" s="205"/>
      <c r="K44" s="205">
        <v>4</v>
      </c>
      <c r="L44" s="205">
        <f t="shared" si="1"/>
        <v>37.15</v>
      </c>
      <c r="M44" s="266">
        <f t="shared" si="17"/>
        <v>10.2875</v>
      </c>
      <c r="N44" s="204">
        <f>E44-серпень!E44</f>
        <v>0</v>
      </c>
      <c r="O44" s="208">
        <f>F44-серпень!F44</f>
        <v>0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264</v>
      </c>
      <c r="F45" s="196">
        <v>428.63</v>
      </c>
      <c r="G45" s="202">
        <f t="shared" si="13"/>
        <v>164.63</v>
      </c>
      <c r="H45" s="204">
        <f t="shared" si="11"/>
        <v>162.35984848484847</v>
      </c>
      <c r="I45" s="205">
        <f t="shared" si="14"/>
        <v>128.63</v>
      </c>
      <c r="J45" s="205">
        <f t="shared" si="16"/>
        <v>142.87666666666667</v>
      </c>
      <c r="K45" s="205">
        <v>0</v>
      </c>
      <c r="L45" s="205">
        <f t="shared" si="1"/>
        <v>428.63</v>
      </c>
      <c r="M45" s="266"/>
      <c r="N45" s="204">
        <f>E45-серпень!E45</f>
        <v>8</v>
      </c>
      <c r="O45" s="208">
        <f>F45-серпень!F45</f>
        <v>100.51999999999998</v>
      </c>
      <c r="P45" s="207">
        <f t="shared" si="15"/>
        <v>92.51999999999998</v>
      </c>
      <c r="Q45" s="205">
        <f t="shared" si="12"/>
        <v>1256.4999999999998</v>
      </c>
      <c r="R45" s="42"/>
      <c r="S45" s="100"/>
      <c r="T45" s="186">
        <f t="shared" si="8"/>
        <v>36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E46-серпень!E46</f>
        <v>0</v>
      </c>
      <c r="O46" s="208">
        <f>F46-серпень!F46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7849.02</v>
      </c>
      <c r="F47" s="196">
        <v>8067.74</v>
      </c>
      <c r="G47" s="202">
        <f t="shared" si="13"/>
        <v>218.71999999999935</v>
      </c>
      <c r="H47" s="204">
        <f t="shared" si="11"/>
        <v>102.78658991823181</v>
      </c>
      <c r="I47" s="205">
        <f t="shared" si="14"/>
        <v>-1832.2600000000002</v>
      </c>
      <c r="J47" s="205">
        <f t="shared" si="16"/>
        <v>81.49232323232323</v>
      </c>
      <c r="K47" s="205">
        <v>7605.46</v>
      </c>
      <c r="L47" s="205">
        <f t="shared" si="1"/>
        <v>462.27999999999975</v>
      </c>
      <c r="M47" s="266">
        <f t="shared" si="17"/>
        <v>1.0607826482553324</v>
      </c>
      <c r="N47" s="204">
        <f>E47-серпень!E47</f>
        <v>800</v>
      </c>
      <c r="O47" s="208">
        <f>F47-серпень!F47</f>
        <v>1005.0999999999995</v>
      </c>
      <c r="P47" s="207">
        <f t="shared" si="15"/>
        <v>205.09999999999945</v>
      </c>
      <c r="Q47" s="205">
        <f t="shared" si="12"/>
        <v>125.63749999999993</v>
      </c>
      <c r="R47" s="42"/>
      <c r="S47" s="100"/>
      <c r="T47" s="186">
        <f t="shared" si="8"/>
        <v>2050.9799999999996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210.12</v>
      </c>
      <c r="G48" s="202">
        <f t="shared" si="13"/>
        <v>-439.88</v>
      </c>
      <c r="H48" s="204">
        <f t="shared" si="11"/>
        <v>32.32615384615385</v>
      </c>
      <c r="I48" s="205">
        <f t="shared" si="14"/>
        <v>-439.88</v>
      </c>
      <c r="J48" s="205">
        <f t="shared" si="16"/>
        <v>32.32615384615385</v>
      </c>
      <c r="K48" s="205">
        <v>0</v>
      </c>
      <c r="L48" s="205">
        <f t="shared" si="1"/>
        <v>210.12</v>
      </c>
      <c r="M48" s="266"/>
      <c r="N48" s="204">
        <f>E48-серпень!E48</f>
        <v>0</v>
      </c>
      <c r="O48" s="208">
        <f>F48-серпень!F48</f>
        <v>41.860000000000014</v>
      </c>
      <c r="P48" s="207">
        <f t="shared" si="15"/>
        <v>41.860000000000014</v>
      </c>
      <c r="Q48" s="205"/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32</v>
      </c>
      <c r="F49" s="196">
        <v>16.68</v>
      </c>
      <c r="G49" s="202">
        <f t="shared" si="13"/>
        <v>-15.32</v>
      </c>
      <c r="H49" s="204">
        <f t="shared" si="11"/>
        <v>52.125</v>
      </c>
      <c r="I49" s="205">
        <f t="shared" si="14"/>
        <v>-33.32</v>
      </c>
      <c r="J49" s="205">
        <f t="shared" si="16"/>
        <v>33.36</v>
      </c>
      <c r="K49" s="205">
        <v>0</v>
      </c>
      <c r="L49" s="205">
        <f t="shared" si="1"/>
        <v>16.68</v>
      </c>
      <c r="M49" s="266"/>
      <c r="N49" s="204">
        <f>E49-серпень!E49</f>
        <v>4</v>
      </c>
      <c r="O49" s="208">
        <f>F49-серпень!F49</f>
        <v>1.2400000000000002</v>
      </c>
      <c r="P49" s="207">
        <f t="shared" si="15"/>
        <v>-2.76</v>
      </c>
      <c r="Q49" s="205">
        <f t="shared" si="12"/>
        <v>31.000000000000007</v>
      </c>
      <c r="R49" s="42"/>
      <c r="S49" s="100"/>
      <c r="T49" s="186">
        <f t="shared" si="8"/>
        <v>18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5916.23</v>
      </c>
      <c r="F50" s="196">
        <v>5625.22</v>
      </c>
      <c r="G50" s="202">
        <f t="shared" si="13"/>
        <v>-291.0099999999993</v>
      </c>
      <c r="H50" s="204">
        <f t="shared" si="11"/>
        <v>95.08115810237264</v>
      </c>
      <c r="I50" s="205">
        <f t="shared" si="14"/>
        <v>-2374.7799999999997</v>
      </c>
      <c r="J50" s="205">
        <f t="shared" si="16"/>
        <v>70.31525</v>
      </c>
      <c r="K50" s="205">
        <v>6785.09</v>
      </c>
      <c r="L50" s="205">
        <f t="shared" si="1"/>
        <v>-1159.87</v>
      </c>
      <c r="M50" s="266">
        <f t="shared" si="17"/>
        <v>0.8290560626314464</v>
      </c>
      <c r="N50" s="204">
        <f>E50-серпень!E50</f>
        <v>650</v>
      </c>
      <c r="O50" s="208">
        <f>F50-серпень!F50</f>
        <v>557.0300000000007</v>
      </c>
      <c r="P50" s="207">
        <f t="shared" si="15"/>
        <v>-92.96999999999935</v>
      </c>
      <c r="Q50" s="205">
        <f t="shared" si="12"/>
        <v>85.69692307692318</v>
      </c>
      <c r="R50" s="42"/>
      <c r="S50" s="100"/>
      <c r="T50" s="186">
        <f t="shared" si="8"/>
        <v>2083.7700000000004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4911.19</v>
      </c>
      <c r="F51" s="196">
        <v>4925.62</v>
      </c>
      <c r="G51" s="202">
        <f t="shared" si="13"/>
        <v>14.430000000000291</v>
      </c>
      <c r="H51" s="204">
        <f t="shared" si="11"/>
        <v>100.29381880969785</v>
      </c>
      <c r="I51" s="205">
        <f t="shared" si="14"/>
        <v>-2074.42</v>
      </c>
      <c r="J51" s="205">
        <f t="shared" si="16"/>
        <v>70.36559791086908</v>
      </c>
      <c r="K51" s="205">
        <v>5721.95</v>
      </c>
      <c r="L51" s="205">
        <f t="shared" si="1"/>
        <v>-796.3299999999999</v>
      </c>
      <c r="M51" s="266">
        <f t="shared" si="17"/>
        <v>0.8608289132201435</v>
      </c>
      <c r="N51" s="204">
        <f>E51-серпень!E51</f>
        <v>520</v>
      </c>
      <c r="O51" s="208">
        <f>F51-серпень!F51</f>
        <v>578.0100000000002</v>
      </c>
      <c r="P51" s="207">
        <f t="shared" si="15"/>
        <v>58.01000000000022</v>
      </c>
      <c r="Q51" s="205">
        <f t="shared" si="12"/>
        <v>111.15576923076927</v>
      </c>
      <c r="R51" s="42"/>
      <c r="S51" s="100"/>
      <c r="T51" s="186">
        <f t="shared" si="8"/>
        <v>2088.8500000000004</v>
      </c>
    </row>
    <row r="52" spans="1:20" s="6" customFormat="1" ht="15">
      <c r="A52" s="8"/>
      <c r="B52" s="55" t="s">
        <v>101</v>
      </c>
      <c r="C52" s="138">
        <v>22090100</v>
      </c>
      <c r="D52" s="109">
        <v>970</v>
      </c>
      <c r="E52" s="109">
        <v>683.99</v>
      </c>
      <c r="F52" s="171">
        <v>643.11</v>
      </c>
      <c r="G52" s="36">
        <f t="shared" si="13"/>
        <v>-40.879999999999995</v>
      </c>
      <c r="H52" s="32">
        <f t="shared" si="11"/>
        <v>94.02330443427536</v>
      </c>
      <c r="I52" s="110">
        <f t="shared" si="14"/>
        <v>-326.89</v>
      </c>
      <c r="J52" s="110">
        <f t="shared" si="16"/>
        <v>66.3</v>
      </c>
      <c r="K52" s="110">
        <v>801.84</v>
      </c>
      <c r="L52" s="110">
        <f>F52-K52</f>
        <v>-158.73000000000002</v>
      </c>
      <c r="M52" s="115">
        <f t="shared" si="17"/>
        <v>0.8020428015564203</v>
      </c>
      <c r="N52" s="111">
        <f>E52-серпень!E52</f>
        <v>20</v>
      </c>
      <c r="O52" s="179">
        <f>F52-серпень!F52</f>
        <v>72.98000000000002</v>
      </c>
      <c r="P52" s="112">
        <f t="shared" si="15"/>
        <v>52.98000000000002</v>
      </c>
      <c r="Q52" s="132">
        <f t="shared" si="12"/>
        <v>364.9000000000001</v>
      </c>
      <c r="R52" s="42"/>
      <c r="S52" s="100"/>
      <c r="T52" s="186">
        <f t="shared" si="8"/>
        <v>286.01</v>
      </c>
    </row>
    <row r="53" spans="1:20" s="6" customFormat="1" ht="15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44.07</v>
      </c>
      <c r="L53" s="110">
        <f>F53-K53</f>
        <v>-43.8</v>
      </c>
      <c r="M53" s="115">
        <f t="shared" si="17"/>
        <v>0.006126616746085773</v>
      </c>
      <c r="N53" s="111">
        <f>E53-серпень!E53</f>
        <v>0</v>
      </c>
      <c r="O53" s="179">
        <f>F53-серпень!F53</f>
        <v>0</v>
      </c>
      <c r="P53" s="112">
        <f t="shared" si="15"/>
        <v>0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E54-серпень!E54</f>
        <v>0</v>
      </c>
      <c r="O54" s="179">
        <f>F54-серпень!F54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>
      <c r="A55" s="8"/>
      <c r="B55" s="55" t="s">
        <v>100</v>
      </c>
      <c r="C55" s="138">
        <v>22090400</v>
      </c>
      <c r="D55" s="109">
        <v>6024</v>
      </c>
      <c r="E55" s="109">
        <v>4222.17</v>
      </c>
      <c r="F55" s="171">
        <v>4282.22</v>
      </c>
      <c r="G55" s="36">
        <f t="shared" si="13"/>
        <v>60.05000000000018</v>
      </c>
      <c r="H55" s="32">
        <f t="shared" si="11"/>
        <v>101.42225443314695</v>
      </c>
      <c r="I55" s="110">
        <f t="shared" si="14"/>
        <v>-1741.7799999999997</v>
      </c>
      <c r="J55" s="110">
        <f t="shared" si="16"/>
        <v>71.08598937583001</v>
      </c>
      <c r="K55" s="110">
        <v>4875.29</v>
      </c>
      <c r="L55" s="110">
        <f>F55-K55</f>
        <v>-593.0699999999997</v>
      </c>
      <c r="M55" s="115">
        <f t="shared" si="17"/>
        <v>0.8783518518898363</v>
      </c>
      <c r="N55" s="111">
        <f>E55-серпень!E55</f>
        <v>500</v>
      </c>
      <c r="O55" s="179">
        <f>F55-серпень!F55</f>
        <v>505.0300000000002</v>
      </c>
      <c r="P55" s="112">
        <f t="shared" si="15"/>
        <v>5.0300000000002</v>
      </c>
      <c r="Q55" s="132">
        <f t="shared" si="12"/>
        <v>101.00600000000004</v>
      </c>
      <c r="R55" s="42"/>
      <c r="S55" s="100"/>
      <c r="T55" s="186">
        <f t="shared" si="8"/>
        <v>1801.83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3.89</v>
      </c>
      <c r="L56" s="205">
        <f>F56-K56</f>
        <v>-1.4300000000000002</v>
      </c>
      <c r="M56" s="266">
        <f t="shared" si="17"/>
        <v>0.6323907455012853</v>
      </c>
      <c r="N56" s="204">
        <f>E56-серпень!E56</f>
        <v>0</v>
      </c>
      <c r="O56" s="208">
        <f>F56-серпень!F56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4637.98</v>
      </c>
      <c r="F57" s="196">
        <v>5154.13</v>
      </c>
      <c r="G57" s="202">
        <f t="shared" si="13"/>
        <v>516.1500000000005</v>
      </c>
      <c r="H57" s="204">
        <f t="shared" si="11"/>
        <v>111.12876726505938</v>
      </c>
      <c r="I57" s="205">
        <f t="shared" si="14"/>
        <v>4.130000000000109</v>
      </c>
      <c r="J57" s="205">
        <f t="shared" si="16"/>
        <v>100.08019417475728</v>
      </c>
      <c r="K57" s="205">
        <v>3571.45</v>
      </c>
      <c r="L57" s="205">
        <f aca="true" t="shared" si="18" ref="L57:L63">F57-K57</f>
        <v>1582.6800000000003</v>
      </c>
      <c r="M57" s="266">
        <f t="shared" si="17"/>
        <v>1.4431477411135534</v>
      </c>
      <c r="N57" s="204">
        <f>E57-серпень!E57</f>
        <v>370</v>
      </c>
      <c r="O57" s="208">
        <f>F57-серпень!F57</f>
        <v>552.3000000000002</v>
      </c>
      <c r="P57" s="207">
        <f t="shared" si="15"/>
        <v>182.30000000000018</v>
      </c>
      <c r="Q57" s="205">
        <f t="shared" si="12"/>
        <v>149.27027027027032</v>
      </c>
      <c r="R57" s="42"/>
      <c r="S57" s="100"/>
      <c r="T57" s="186">
        <f t="shared" si="8"/>
        <v>512.0200000000004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E58-серпень!E58</f>
        <v>0</v>
      </c>
      <c r="O58" s="208">
        <f>F58-серпень!F58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1002.35</v>
      </c>
      <c r="G59" s="202"/>
      <c r="H59" s="204"/>
      <c r="I59" s="205"/>
      <c r="J59" s="205"/>
      <c r="K59" s="206">
        <v>979.24</v>
      </c>
      <c r="L59" s="205">
        <f t="shared" si="18"/>
        <v>23.110000000000014</v>
      </c>
      <c r="M59" s="266">
        <f t="shared" si="17"/>
        <v>1.0235999346431928</v>
      </c>
      <c r="N59" s="204"/>
      <c r="O59" s="208">
        <f>F59-серпень!F59</f>
        <v>112.55000000000007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E60-серпень!E60</f>
        <v>0</v>
      </c>
      <c r="O60" s="208">
        <f>F60-серпень!F60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158.93</v>
      </c>
      <c r="G61" s="202">
        <f t="shared" si="13"/>
        <v>58.93000000000001</v>
      </c>
      <c r="H61" s="204">
        <f t="shared" si="11"/>
        <v>158.93</v>
      </c>
      <c r="I61" s="205">
        <f t="shared" si="14"/>
        <v>58.93000000000001</v>
      </c>
      <c r="J61" s="205">
        <f t="shared" si="16"/>
        <v>158.93</v>
      </c>
      <c r="K61" s="205">
        <v>20.05</v>
      </c>
      <c r="L61" s="205">
        <f t="shared" si="18"/>
        <v>138.88</v>
      </c>
      <c r="M61" s="266">
        <f t="shared" si="17"/>
        <v>7.926683291770574</v>
      </c>
      <c r="N61" s="204">
        <f>E61-серпень!E61</f>
        <v>0</v>
      </c>
      <c r="O61" s="208">
        <f>F61-серпень!F61</f>
        <v>6.659999999999997</v>
      </c>
      <c r="P61" s="207">
        <f t="shared" si="15"/>
        <v>6.659999999999997</v>
      </c>
      <c r="Q61" s="205"/>
      <c r="R61" s="42"/>
      <c r="S61" s="100"/>
      <c r="T61" s="186">
        <f t="shared" si="8"/>
        <v>0</v>
      </c>
    </row>
    <row r="62" spans="1:20" s="6" customFormat="1" ht="30.75">
      <c r="A62" s="8"/>
      <c r="B62" s="12" t="s">
        <v>45</v>
      </c>
      <c r="C62" s="48">
        <v>31010200</v>
      </c>
      <c r="D62" s="190">
        <v>30</v>
      </c>
      <c r="E62" s="190">
        <v>19.1</v>
      </c>
      <c r="F62" s="196">
        <v>13.52</v>
      </c>
      <c r="G62" s="202">
        <f t="shared" si="13"/>
        <v>-5.580000000000002</v>
      </c>
      <c r="H62" s="204">
        <f t="shared" si="11"/>
        <v>70.7853403141361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E62-серпень!E62</f>
        <v>2.3000000000000007</v>
      </c>
      <c r="O62" s="208">
        <f>F62-серпень!F62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10.899999999999999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1.02</v>
      </c>
      <c r="G63" s="202">
        <f t="shared" si="13"/>
        <v>0.8200000000000001</v>
      </c>
      <c r="H63" s="204"/>
      <c r="I63" s="205">
        <f t="shared" si="14"/>
        <v>0.21999999999999997</v>
      </c>
      <c r="J63" s="205"/>
      <c r="K63" s="205">
        <v>0.31</v>
      </c>
      <c r="L63" s="205">
        <f t="shared" si="18"/>
        <v>0.71</v>
      </c>
      <c r="M63" s="266">
        <f t="shared" si="17"/>
        <v>3.2903225806451615</v>
      </c>
      <c r="N63" s="204">
        <f>E63-серпень!E63</f>
        <v>0</v>
      </c>
      <c r="O63" s="208">
        <f>F63-серпень!F63</f>
        <v>-0.010000000000000009</v>
      </c>
      <c r="P63" s="207">
        <f t="shared" si="15"/>
        <v>-0.010000000000000009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1018944.7300000001</v>
      </c>
      <c r="E64" s="191">
        <f>E8+E38+E62+E63</f>
        <v>754995.14</v>
      </c>
      <c r="F64" s="191">
        <f>F8+F38+F62+F63</f>
        <v>757500.1000000001</v>
      </c>
      <c r="G64" s="191">
        <f>F64-E64</f>
        <v>2504.960000000079</v>
      </c>
      <c r="H64" s="192">
        <f>F64/E64*100</f>
        <v>100.33178491718505</v>
      </c>
      <c r="I64" s="193">
        <f>F64-D64</f>
        <v>-261444.63</v>
      </c>
      <c r="J64" s="193">
        <f>F64/D64*100</f>
        <v>74.34162793108513</v>
      </c>
      <c r="K64" s="193">
        <v>509138.63</v>
      </c>
      <c r="L64" s="193">
        <f>F64-K64</f>
        <v>248361.4700000001</v>
      </c>
      <c r="M64" s="267">
        <f>F64/K64</f>
        <v>1.4878071616761825</v>
      </c>
      <c r="N64" s="191">
        <f>N8+N38+N62+N63</f>
        <v>82559.13</v>
      </c>
      <c r="O64" s="191">
        <f>O8+O38+O62+O63</f>
        <v>80976.43999999999</v>
      </c>
      <c r="P64" s="195">
        <f>O64-N64</f>
        <v>-1582.6900000000169</v>
      </c>
      <c r="Q64" s="193">
        <f>O64/N64*100</f>
        <v>98.08296187229683</v>
      </c>
      <c r="R64" s="28">
        <f>O64-34768</f>
        <v>46208.43999999999</v>
      </c>
      <c r="S64" s="128">
        <f>O64/34768</f>
        <v>2.32905085135757</v>
      </c>
      <c r="T64" s="186">
        <f t="shared" si="8"/>
        <v>263949.5900000001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F69-серпень!F69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-3.83</v>
      </c>
      <c r="G70" s="202">
        <f>F70-E70</f>
        <v>-3.83</v>
      </c>
      <c r="H70" s="204"/>
      <c r="I70" s="207">
        <f>F70-D70</f>
        <v>-3.83</v>
      </c>
      <c r="J70" s="207"/>
      <c r="K70" s="207">
        <v>-51.7</v>
      </c>
      <c r="L70" s="207">
        <f>F70-K70</f>
        <v>47.870000000000005</v>
      </c>
      <c r="M70" s="254">
        <f>F70/K70</f>
        <v>0.07408123791102514</v>
      </c>
      <c r="N70" s="204"/>
      <c r="O70" s="223">
        <f>F70-серпень!F70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-3.8200000000000003</v>
      </c>
      <c r="G71" s="226">
        <f>F71-E71</f>
        <v>-3.8200000000000003</v>
      </c>
      <c r="H71" s="227"/>
      <c r="I71" s="228">
        <f>F71-D71</f>
        <v>-3.8200000000000003</v>
      </c>
      <c r="J71" s="228"/>
      <c r="K71" s="228">
        <v>-51.7</v>
      </c>
      <c r="L71" s="228">
        <f>F71-K71</f>
        <v>47.88</v>
      </c>
      <c r="M71" s="260">
        <f>F71/K71</f>
        <v>0.07388781431334623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2700</v>
      </c>
      <c r="F73" s="222">
        <v>1553.95</v>
      </c>
      <c r="G73" s="202">
        <f aca="true" t="shared" si="19" ref="G73:G83">F73-E73</f>
        <v>-1146.05</v>
      </c>
      <c r="H73" s="204"/>
      <c r="I73" s="207">
        <f aca="true" t="shared" si="20" ref="I73:I83">F73-D73</f>
        <v>-2646.05</v>
      </c>
      <c r="J73" s="207">
        <f>F73/D73*100</f>
        <v>36.99880952380952</v>
      </c>
      <c r="K73" s="207">
        <v>593.1</v>
      </c>
      <c r="L73" s="207">
        <f aca="true" t="shared" si="21" ref="L73:L83">F73-K73</f>
        <v>960.85</v>
      </c>
      <c r="M73" s="254">
        <f>F73/K73</f>
        <v>2.6200472095768</v>
      </c>
      <c r="N73" s="204">
        <f>E73-серпень!E73</f>
        <v>500</v>
      </c>
      <c r="O73" s="208">
        <f>F73-серпень!F73</f>
        <v>18.779999999999973</v>
      </c>
      <c r="P73" s="207">
        <f aca="true" t="shared" si="22" ref="P73:P86">O73-N73</f>
        <v>-481.22</v>
      </c>
      <c r="Q73" s="207">
        <f>O73/N73*100</f>
        <v>3.755999999999995</v>
      </c>
      <c r="R73" s="43"/>
      <c r="S73" s="103"/>
      <c r="T73" s="186">
        <f t="shared" si="8"/>
        <v>1500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4692.21</v>
      </c>
      <c r="F74" s="222">
        <v>6903.45</v>
      </c>
      <c r="G74" s="202">
        <f t="shared" si="19"/>
        <v>2211.24</v>
      </c>
      <c r="H74" s="204">
        <f>F74/E74*100</f>
        <v>147.12576802828517</v>
      </c>
      <c r="I74" s="207">
        <f t="shared" si="20"/>
        <v>-555.5500000000002</v>
      </c>
      <c r="J74" s="207">
        <f>F74/D74*100</f>
        <v>92.55195066362782</v>
      </c>
      <c r="K74" s="207">
        <v>3987.63</v>
      </c>
      <c r="L74" s="207">
        <f t="shared" si="21"/>
        <v>2915.8199999999997</v>
      </c>
      <c r="M74" s="254">
        <f>F74/K74</f>
        <v>1.7312162863655856</v>
      </c>
      <c r="N74" s="204">
        <f>E74-серпень!E74</f>
        <v>815</v>
      </c>
      <c r="O74" s="208">
        <f>F74-серпень!F74</f>
        <v>119.92000000000007</v>
      </c>
      <c r="P74" s="207">
        <f t="shared" si="22"/>
        <v>-695.0799999999999</v>
      </c>
      <c r="Q74" s="207">
        <f>O74/N74*100</f>
        <v>14.714110429447864</v>
      </c>
      <c r="R74" s="43"/>
      <c r="S74" s="103"/>
      <c r="T74" s="186">
        <f aca="true" t="shared" si="23" ref="T74:T90">D74-E74</f>
        <v>2766.79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2698.85</v>
      </c>
      <c r="F75" s="222">
        <v>12116.42</v>
      </c>
      <c r="G75" s="202">
        <f t="shared" si="19"/>
        <v>9417.57</v>
      </c>
      <c r="H75" s="204">
        <f>F75/E75*100</f>
        <v>448.9475146821794</v>
      </c>
      <c r="I75" s="207">
        <f t="shared" si="20"/>
        <v>6116.42</v>
      </c>
      <c r="J75" s="207">
        <f>F75/D75*100</f>
        <v>201.94033333333334</v>
      </c>
      <c r="K75" s="207">
        <v>1859.08</v>
      </c>
      <c r="L75" s="207">
        <f t="shared" si="21"/>
        <v>10257.34</v>
      </c>
      <c r="M75" s="254">
        <f>F75/K75</f>
        <v>6.517427975127482</v>
      </c>
      <c r="N75" s="204">
        <f>E75-серпень!E75</f>
        <v>302</v>
      </c>
      <c r="O75" s="208">
        <f>F75-серпень!F75</f>
        <v>1639.2800000000007</v>
      </c>
      <c r="P75" s="207">
        <f t="shared" si="22"/>
        <v>1337.2800000000007</v>
      </c>
      <c r="Q75" s="207">
        <f>O75/N75*100</f>
        <v>542.8079470198678</v>
      </c>
      <c r="R75" s="43"/>
      <c r="S75" s="103"/>
      <c r="T75" s="186">
        <f t="shared" si="23"/>
        <v>3301.15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9</v>
      </c>
      <c r="F76" s="222">
        <v>10</v>
      </c>
      <c r="G76" s="202">
        <f t="shared" si="19"/>
        <v>1</v>
      </c>
      <c r="H76" s="204">
        <f>F76/E76*100</f>
        <v>111.11111111111111</v>
      </c>
      <c r="I76" s="207">
        <f t="shared" si="20"/>
        <v>-2</v>
      </c>
      <c r="J76" s="207">
        <f>F76/D76*100</f>
        <v>83.33333333333334</v>
      </c>
      <c r="K76" s="207"/>
      <c r="L76" s="207">
        <f t="shared" si="21"/>
        <v>10</v>
      </c>
      <c r="M76" s="254"/>
      <c r="N76" s="204">
        <f>E76-серпень!E76</f>
        <v>1</v>
      </c>
      <c r="O76" s="208">
        <f>F76-серпень!F76</f>
        <v>4</v>
      </c>
      <c r="P76" s="207">
        <f t="shared" si="22"/>
        <v>3</v>
      </c>
      <c r="Q76" s="207">
        <f>O76/N76*100</f>
        <v>400</v>
      </c>
      <c r="R76" s="43"/>
      <c r="S76" s="151"/>
      <c r="T76" s="186">
        <f t="shared" si="23"/>
        <v>3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10100.06</v>
      </c>
      <c r="F77" s="225">
        <f>F73+F74+F75+F76</f>
        <v>20583.82</v>
      </c>
      <c r="G77" s="226">
        <f t="shared" si="19"/>
        <v>10483.76</v>
      </c>
      <c r="H77" s="227">
        <f>F77/E77*100</f>
        <v>203.7989873327485</v>
      </c>
      <c r="I77" s="228">
        <f t="shared" si="20"/>
        <v>2912.8199999999997</v>
      </c>
      <c r="J77" s="228">
        <f>F77/D77*100</f>
        <v>116.48361722596343</v>
      </c>
      <c r="K77" s="228">
        <v>6439.8</v>
      </c>
      <c r="L77" s="228">
        <f t="shared" si="21"/>
        <v>14144.02</v>
      </c>
      <c r="M77" s="260">
        <f>F77/K77</f>
        <v>3.1963446069753716</v>
      </c>
      <c r="N77" s="226">
        <f>N73+N74+N75+N76</f>
        <v>1618</v>
      </c>
      <c r="O77" s="230">
        <f>O73+O74+O75+O76</f>
        <v>1781.9800000000007</v>
      </c>
      <c r="P77" s="228">
        <f t="shared" si="22"/>
        <v>163.9800000000007</v>
      </c>
      <c r="Q77" s="228">
        <f>O77/N77*100</f>
        <v>110.13473423980227</v>
      </c>
      <c r="R77" s="44"/>
      <c r="S77" s="129"/>
      <c r="T77" s="186">
        <f t="shared" si="23"/>
        <v>7570.9400000000005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35.78</v>
      </c>
      <c r="G78" s="202">
        <f t="shared" si="19"/>
        <v>35.78</v>
      </c>
      <c r="H78" s="204"/>
      <c r="I78" s="207">
        <f t="shared" si="20"/>
        <v>34.78</v>
      </c>
      <c r="J78" s="207"/>
      <c r="K78" s="207">
        <v>0.35</v>
      </c>
      <c r="L78" s="207">
        <f t="shared" si="21"/>
        <v>35.43</v>
      </c>
      <c r="M78" s="254">
        <f>F78/K78</f>
        <v>102.22857142857144</v>
      </c>
      <c r="N78" s="204">
        <f>E78-серпень!E78</f>
        <v>0</v>
      </c>
      <c r="O78" s="208">
        <f>F78-серпень!F78</f>
        <v>30.11</v>
      </c>
      <c r="P78" s="207">
        <f t="shared" si="22"/>
        <v>30.11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E79-серпень!E79</f>
        <v>0</v>
      </c>
      <c r="O79" s="208">
        <f>F79-серпень!F79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7624</v>
      </c>
      <c r="F80" s="222">
        <v>6825.67</v>
      </c>
      <c r="G80" s="202">
        <f t="shared" si="19"/>
        <v>-798.3299999999999</v>
      </c>
      <c r="H80" s="204">
        <f>F80/E80*100</f>
        <v>89.52872507869884</v>
      </c>
      <c r="I80" s="207">
        <f t="shared" si="20"/>
        <v>-2674.33</v>
      </c>
      <c r="J80" s="207">
        <f>F80/D80*100</f>
        <v>71.84915789473685</v>
      </c>
      <c r="K80" s="207">
        <v>0</v>
      </c>
      <c r="L80" s="207">
        <f t="shared" si="21"/>
        <v>6825.67</v>
      </c>
      <c r="M80" s="254"/>
      <c r="N80" s="204">
        <f>E80-серпень!E80</f>
        <v>0.3999999999996362</v>
      </c>
      <c r="O80" s="208">
        <f>F80-серпень!F80</f>
        <v>0.8400000000001455</v>
      </c>
      <c r="P80" s="207">
        <f>O80-N80</f>
        <v>0.4400000000005093</v>
      </c>
      <c r="Q80" s="231">
        <f>O80/N80*100</f>
        <v>210.00000000022737</v>
      </c>
      <c r="R80" s="46"/>
      <c r="S80" s="105"/>
      <c r="T80" s="186">
        <f t="shared" si="23"/>
        <v>1876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1.22</v>
      </c>
      <c r="G81" s="202">
        <f t="shared" si="19"/>
        <v>1.22</v>
      </c>
      <c r="H81" s="204"/>
      <c r="I81" s="207">
        <f t="shared" si="20"/>
        <v>1.22</v>
      </c>
      <c r="J81" s="207"/>
      <c r="K81" s="207">
        <v>1</v>
      </c>
      <c r="L81" s="207">
        <f t="shared" si="21"/>
        <v>0.21999999999999997</v>
      </c>
      <c r="M81" s="254">
        <f>F81/K81</f>
        <v>1.22</v>
      </c>
      <c r="N81" s="204">
        <f>E81-серпень!E81</f>
        <v>0</v>
      </c>
      <c r="O81" s="208">
        <f>F81-серпень!F81</f>
        <v>0.1299999999999999</v>
      </c>
      <c r="P81" s="207">
        <f t="shared" si="22"/>
        <v>0.1299999999999999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7624</v>
      </c>
      <c r="F82" s="225">
        <f>F78+F81+F79+F80</f>
        <v>6862.67</v>
      </c>
      <c r="G82" s="224">
        <f>G78+G81+G79+G80</f>
        <v>-761.3299999999999</v>
      </c>
      <c r="H82" s="227">
        <f>F82/E82*100</f>
        <v>90.01403462749214</v>
      </c>
      <c r="I82" s="228">
        <f t="shared" si="20"/>
        <v>-2638.33</v>
      </c>
      <c r="J82" s="228">
        <f>F82/D82*100</f>
        <v>72.23102831280917</v>
      </c>
      <c r="K82" s="228">
        <v>1.35</v>
      </c>
      <c r="L82" s="228">
        <f t="shared" si="21"/>
        <v>6861.32</v>
      </c>
      <c r="M82" s="268">
        <f>F82/K82</f>
        <v>5083.459259259259</v>
      </c>
      <c r="N82" s="226">
        <f>N78+N81+N79+N80</f>
        <v>0.3999999999996362</v>
      </c>
      <c r="O82" s="230">
        <f>O78+O81+O79+O80</f>
        <v>31.080000000000144</v>
      </c>
      <c r="P82" s="226">
        <f>P78+P81+P79+P80</f>
        <v>30.680000000000508</v>
      </c>
      <c r="Q82" s="228">
        <f>O82/N82*100</f>
        <v>7770.000000007103</v>
      </c>
      <c r="R82" s="44"/>
      <c r="S82" s="102"/>
      <c r="T82" s="186">
        <f t="shared" si="23"/>
        <v>1877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28.97</v>
      </c>
      <c r="F83" s="222">
        <v>26.87</v>
      </c>
      <c r="G83" s="202">
        <f t="shared" si="19"/>
        <v>-2.099999999999998</v>
      </c>
      <c r="H83" s="204">
        <f>F83/E83*100</f>
        <v>92.75112185018986</v>
      </c>
      <c r="I83" s="207">
        <f t="shared" si="20"/>
        <v>-16.13</v>
      </c>
      <c r="J83" s="207">
        <f>F83/D83*100</f>
        <v>62.48837209302326</v>
      </c>
      <c r="K83" s="207">
        <v>29.22</v>
      </c>
      <c r="L83" s="207">
        <f t="shared" si="21"/>
        <v>-2.349999999999998</v>
      </c>
      <c r="M83" s="254">
        <f>F83/K83</f>
        <v>0.9195756331279946</v>
      </c>
      <c r="N83" s="204">
        <f>E83-серпень!E83</f>
        <v>8.169999999999998</v>
      </c>
      <c r="O83" s="208">
        <f>F83-серпень!F83</f>
        <v>7.490000000000002</v>
      </c>
      <c r="P83" s="207">
        <f t="shared" si="22"/>
        <v>-0.6799999999999962</v>
      </c>
      <c r="Q83" s="207">
        <f>O83/N83</f>
        <v>0.9167686658506736</v>
      </c>
      <c r="R83" s="43"/>
      <c r="S83" s="103"/>
      <c r="T83" s="186">
        <f t="shared" si="23"/>
        <v>14.030000000000001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17753.03</v>
      </c>
      <c r="F85" s="232">
        <f>F71+F83+F77+F82+F84</f>
        <v>27469.54</v>
      </c>
      <c r="G85" s="233">
        <f>F85-E85</f>
        <v>9716.510000000002</v>
      </c>
      <c r="H85" s="234">
        <f>F85/E85*100</f>
        <v>154.73155850015462</v>
      </c>
      <c r="I85" s="235">
        <f>F85-D85</f>
        <v>254.54000000000087</v>
      </c>
      <c r="J85" s="235">
        <f>F85/D85*100</f>
        <v>100.93529303692816</v>
      </c>
      <c r="K85" s="235">
        <v>6418.88</v>
      </c>
      <c r="L85" s="235">
        <f>F85-K85</f>
        <v>21050.66</v>
      </c>
      <c r="M85" s="269">
        <f>F85/K85</f>
        <v>4.279491126177776</v>
      </c>
      <c r="N85" s="232">
        <f>N71+N83+N77+N82</f>
        <v>1626.5699999999997</v>
      </c>
      <c r="O85" s="232">
        <f>O71+O83+O77+O82+O84</f>
        <v>1820.5500000000009</v>
      </c>
      <c r="P85" s="235">
        <f t="shared" si="22"/>
        <v>193.98000000000116</v>
      </c>
      <c r="Q85" s="235">
        <f>O85/N85*100</f>
        <v>111.92570869990233</v>
      </c>
      <c r="R85" s="28">
        <f>O85-8104.96</f>
        <v>-6284.409999999999</v>
      </c>
      <c r="S85" s="101">
        <f>O85/8104.96</f>
        <v>0.22462171312381565</v>
      </c>
      <c r="T85" s="186">
        <f t="shared" si="23"/>
        <v>9461.970000000001</v>
      </c>
    </row>
    <row r="86" spans="2:20" ht="17.25">
      <c r="B86" s="21" t="s">
        <v>33</v>
      </c>
      <c r="C86" s="71"/>
      <c r="D86" s="232">
        <f>D64+D85</f>
        <v>1046159.7300000001</v>
      </c>
      <c r="E86" s="232">
        <f>E64+E85</f>
        <v>772748.17</v>
      </c>
      <c r="F86" s="232">
        <f>F64+F85</f>
        <v>784969.6400000001</v>
      </c>
      <c r="G86" s="233">
        <f>F86-E86</f>
        <v>12221.470000000088</v>
      </c>
      <c r="H86" s="234">
        <f>F86/E86*100</f>
        <v>101.58155922905647</v>
      </c>
      <c r="I86" s="235">
        <f>F86-D86</f>
        <v>-261190.08999999997</v>
      </c>
      <c r="J86" s="235">
        <f>F86/D86*100</f>
        <v>75.03344063912688</v>
      </c>
      <c r="K86" s="235">
        <f>K64+K85</f>
        <v>515557.51</v>
      </c>
      <c r="L86" s="235">
        <f>F86-K86</f>
        <v>269412.1300000001</v>
      </c>
      <c r="M86" s="269">
        <f>F86/K86</f>
        <v>1.5225646504499568</v>
      </c>
      <c r="N86" s="233">
        <f>N64+N85</f>
        <v>84185.70000000001</v>
      </c>
      <c r="O86" s="233">
        <f>O64+O85</f>
        <v>82796.98999999999</v>
      </c>
      <c r="P86" s="235">
        <f t="shared" si="22"/>
        <v>-1388.710000000021</v>
      </c>
      <c r="Q86" s="235">
        <f>O86/N86*100</f>
        <v>98.35042055836084</v>
      </c>
      <c r="R86" s="28">
        <f>O86-42872.96</f>
        <v>39924.02999999999</v>
      </c>
      <c r="S86" s="101">
        <f>O86/42872.96</f>
        <v>1.9312170188389137</v>
      </c>
      <c r="T86" s="186">
        <f t="shared" si="23"/>
        <v>273411.56000000006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 t="e">
        <f>IF(P64&lt;0,ABS(P64/C88),0)</f>
        <v>#DIV/0!</v>
      </c>
      <c r="D89" s="4" t="s">
        <v>24</v>
      </c>
      <c r="G89" s="439"/>
      <c r="H89" s="439"/>
      <c r="I89" s="439"/>
      <c r="J89" s="439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42643</v>
      </c>
      <c r="D90" s="31">
        <v>7462.3</v>
      </c>
      <c r="G90" s="4" t="s">
        <v>59</v>
      </c>
      <c r="O90" s="440"/>
      <c r="P90" s="440"/>
      <c r="T90" s="186">
        <f t="shared" si="23"/>
        <v>7462.3</v>
      </c>
    </row>
    <row r="91" spans="3:16" ht="15">
      <c r="C91" s="87">
        <v>42642</v>
      </c>
      <c r="D91" s="31">
        <v>10407.9</v>
      </c>
      <c r="F91" s="124" t="s">
        <v>59</v>
      </c>
      <c r="G91" s="441"/>
      <c r="H91" s="441"/>
      <c r="I91" s="131"/>
      <c r="J91" s="442"/>
      <c r="K91" s="442"/>
      <c r="L91" s="442"/>
      <c r="M91" s="442"/>
      <c r="N91" s="442"/>
      <c r="O91" s="440"/>
      <c r="P91" s="440"/>
    </row>
    <row r="92" spans="3:16" ht="15.75" customHeight="1">
      <c r="C92" s="87">
        <v>42641</v>
      </c>
      <c r="D92" s="31">
        <v>6835.7</v>
      </c>
      <c r="F92" s="73"/>
      <c r="G92" s="441"/>
      <c r="H92" s="441"/>
      <c r="I92" s="131"/>
      <c r="J92" s="443"/>
      <c r="K92" s="443"/>
      <c r="L92" s="443"/>
      <c r="M92" s="443"/>
      <c r="N92" s="443"/>
      <c r="O92" s="440"/>
      <c r="P92" s="440"/>
    </row>
    <row r="93" spans="3:14" ht="15.75" customHeight="1">
      <c r="C93" s="87"/>
      <c r="F93" s="73"/>
      <c r="G93" s="447"/>
      <c r="H93" s="447"/>
      <c r="I93" s="139"/>
      <c r="J93" s="442"/>
      <c r="K93" s="442"/>
      <c r="L93" s="442"/>
      <c r="M93" s="442"/>
      <c r="N93" s="442"/>
    </row>
    <row r="94" spans="2:14" ht="18.75" customHeight="1">
      <c r="B94" s="448" t="s">
        <v>57</v>
      </c>
      <c r="C94" s="449"/>
      <c r="D94" s="148">
        <v>10150.57106</v>
      </c>
      <c r="E94" s="74"/>
      <c r="F94" s="140" t="s">
        <v>137</v>
      </c>
      <c r="G94" s="441"/>
      <c r="H94" s="441"/>
      <c r="I94" s="141"/>
      <c r="J94" s="442"/>
      <c r="K94" s="442"/>
      <c r="L94" s="442"/>
      <c r="M94" s="442"/>
      <c r="N94" s="442"/>
    </row>
    <row r="95" spans="6:13" ht="9.75" customHeight="1">
      <c r="F95" s="73"/>
      <c r="G95" s="441"/>
      <c r="H95" s="441"/>
      <c r="I95" s="73"/>
      <c r="J95" s="74"/>
      <c r="K95" s="74"/>
      <c r="L95" s="74"/>
      <c r="M95" s="74"/>
    </row>
    <row r="96" spans="2:13" ht="22.5" customHeight="1">
      <c r="B96" s="444" t="s">
        <v>60</v>
      </c>
      <c r="C96" s="445"/>
      <c r="D96" s="86">
        <v>0</v>
      </c>
      <c r="E96" s="56" t="s">
        <v>24</v>
      </c>
      <c r="F96" s="73"/>
      <c r="G96" s="441"/>
      <c r="H96" s="441"/>
      <c r="I96" s="73"/>
      <c r="J96" s="74"/>
      <c r="K96" s="74"/>
      <c r="L96" s="74"/>
      <c r="M96" s="74"/>
    </row>
    <row r="97" spans="4:16" ht="15">
      <c r="D97" s="73">
        <f>D45+D48+D49</f>
        <v>1000</v>
      </c>
      <c r="E97" s="73">
        <f>E45+E48+E49</f>
        <v>946</v>
      </c>
      <c r="F97" s="247">
        <f>F45+F48+F49</f>
        <v>655.43</v>
      </c>
      <c r="G97" s="73">
        <f>G45+G48+G49</f>
        <v>-290.57</v>
      </c>
      <c r="H97" s="74"/>
      <c r="I97" s="74"/>
      <c r="N97" s="31">
        <f>N45+N48+N49</f>
        <v>12</v>
      </c>
      <c r="O97" s="246">
        <f>O45+O48+O49</f>
        <v>143.62</v>
      </c>
      <c r="P97" s="31">
        <f>P45+P48+P49</f>
        <v>131.62</v>
      </c>
    </row>
    <row r="98" spans="4:16" ht="15">
      <c r="D98" s="83"/>
      <c r="I98" s="31"/>
      <c r="O98" s="446"/>
      <c r="P98" s="446"/>
    </row>
    <row r="99" spans="15:16" ht="15">
      <c r="O99" s="441"/>
      <c r="P99" s="441"/>
    </row>
    <row r="100" ht="15">
      <c r="O100" s="31"/>
    </row>
    <row r="103" ht="15">
      <c r="E103" s="4" t="s">
        <v>59</v>
      </c>
    </row>
  </sheetData>
  <sheetProtection/>
  <mergeCells count="38"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" bottom="0" header="0" footer="0"/>
  <pageSetup fitToHeight="2" fitToWidth="1" horizontalDpi="600" verticalDpi="6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9" zoomScaleNormal="79" zoomScalePageLayoutView="0" workbookViewId="0" topLeftCell="B1">
      <pane xSplit="2" ySplit="8" topLeftCell="E5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customWidth="1"/>
    <col min="13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13" t="s">
        <v>196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92"/>
      <c r="S1" s="93"/>
    </row>
    <row r="2" spans="2:19" s="1" customFormat="1" ht="15.75" customHeight="1">
      <c r="B2" s="414"/>
      <c r="C2" s="414"/>
      <c r="D2" s="414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15"/>
      <c r="B3" s="417"/>
      <c r="C3" s="418" t="s">
        <v>0</v>
      </c>
      <c r="D3" s="419" t="s">
        <v>121</v>
      </c>
      <c r="E3" s="34"/>
      <c r="F3" s="420" t="s">
        <v>26</v>
      </c>
      <c r="G3" s="421"/>
      <c r="H3" s="421"/>
      <c r="I3" s="421"/>
      <c r="J3" s="422"/>
      <c r="K3" s="89"/>
      <c r="L3" s="89"/>
      <c r="M3" s="89"/>
      <c r="N3" s="423" t="s">
        <v>193</v>
      </c>
      <c r="O3" s="426" t="s">
        <v>194</v>
      </c>
      <c r="P3" s="426"/>
      <c r="Q3" s="426"/>
      <c r="R3" s="426"/>
      <c r="S3" s="426"/>
    </row>
    <row r="4" spans="1:19" ht="22.5" customHeight="1">
      <c r="A4" s="415"/>
      <c r="B4" s="417"/>
      <c r="C4" s="418"/>
      <c r="D4" s="419"/>
      <c r="E4" s="427" t="s">
        <v>190</v>
      </c>
      <c r="F4" s="429" t="s">
        <v>34</v>
      </c>
      <c r="G4" s="431" t="s">
        <v>191</v>
      </c>
      <c r="H4" s="424" t="s">
        <v>192</v>
      </c>
      <c r="I4" s="431" t="s">
        <v>122</v>
      </c>
      <c r="J4" s="424" t="s">
        <v>123</v>
      </c>
      <c r="K4" s="91" t="s">
        <v>186</v>
      </c>
      <c r="L4" s="249" t="s">
        <v>185</v>
      </c>
      <c r="M4" s="96" t="s">
        <v>64</v>
      </c>
      <c r="N4" s="424"/>
      <c r="O4" s="433" t="s">
        <v>197</v>
      </c>
      <c r="P4" s="431" t="s">
        <v>50</v>
      </c>
      <c r="Q4" s="435" t="s">
        <v>49</v>
      </c>
      <c r="R4" s="97" t="s">
        <v>65</v>
      </c>
      <c r="S4" s="98" t="s">
        <v>64</v>
      </c>
    </row>
    <row r="5" spans="1:19" ht="67.5" customHeight="1">
      <c r="A5" s="416"/>
      <c r="B5" s="417"/>
      <c r="C5" s="418"/>
      <c r="D5" s="419"/>
      <c r="E5" s="428"/>
      <c r="F5" s="430"/>
      <c r="G5" s="432"/>
      <c r="H5" s="425"/>
      <c r="I5" s="432"/>
      <c r="J5" s="425"/>
      <c r="K5" s="436" t="s">
        <v>195</v>
      </c>
      <c r="L5" s="437"/>
      <c r="M5" s="438"/>
      <c r="N5" s="425"/>
      <c r="O5" s="434"/>
      <c r="P5" s="432"/>
      <c r="Q5" s="435"/>
      <c r="R5" s="436" t="s">
        <v>120</v>
      </c>
      <c r="S5" s="438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934071.4500000001</v>
      </c>
      <c r="E8" s="191">
        <f>E9+E15+E18+E19+E20+E37+E17</f>
        <v>629357.98</v>
      </c>
      <c r="F8" s="191">
        <f>F9+F15+F18+F19+F20+F37+F17</f>
        <v>633520.83</v>
      </c>
      <c r="G8" s="191">
        <f aca="true" t="shared" si="0" ref="G8:G37">F8-E8</f>
        <v>4162.849999999977</v>
      </c>
      <c r="H8" s="192">
        <f>F8/E8*100</f>
        <v>100.6614439051047</v>
      </c>
      <c r="I8" s="193">
        <f>F8-D8</f>
        <v>-300550.6200000001</v>
      </c>
      <c r="J8" s="193">
        <f>F8/D8*100</f>
        <v>67.82359422290446</v>
      </c>
      <c r="K8" s="191">
        <v>429512.12</v>
      </c>
      <c r="L8" s="191">
        <f aca="true" t="shared" si="1" ref="L8:L51">F8-K8</f>
        <v>204008.70999999996</v>
      </c>
      <c r="M8" s="250">
        <f aca="true" t="shared" si="2" ref="M8:M28">F8/K8</f>
        <v>1.4749777724549424</v>
      </c>
      <c r="N8" s="191">
        <f>N9+N15+N18+N19+N20+N17</f>
        <v>130406.69999999995</v>
      </c>
      <c r="O8" s="191">
        <f>O9+O15+O18+O19+O20+O17</f>
        <v>89713.86999999997</v>
      </c>
      <c r="P8" s="191">
        <f>O8-N8</f>
        <v>-40692.82999999999</v>
      </c>
      <c r="Q8" s="191">
        <f>O8/N8*100</f>
        <v>68.79544532604537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f>328493.67+2000+1800</f>
        <v>332293.67</v>
      </c>
      <c r="F9" s="196">
        <v>339918.36</v>
      </c>
      <c r="G9" s="190">
        <f t="shared" si="0"/>
        <v>7624.690000000002</v>
      </c>
      <c r="H9" s="197">
        <f>F9/E9*100</f>
        <v>102.2945637213011</v>
      </c>
      <c r="I9" s="198">
        <f>F9-D9</f>
        <v>-190670.64</v>
      </c>
      <c r="J9" s="198">
        <f>F9/D9*100</f>
        <v>64.06434358797488</v>
      </c>
      <c r="K9" s="199">
        <v>233711.01</v>
      </c>
      <c r="L9" s="199">
        <f t="shared" si="1"/>
        <v>106207.34999999998</v>
      </c>
      <c r="M9" s="251">
        <f t="shared" si="2"/>
        <v>1.4544387960156433</v>
      </c>
      <c r="N9" s="197">
        <f>E9-липень!E9</f>
        <v>69034.39999999997</v>
      </c>
      <c r="O9" s="200">
        <f>F9-липень!F9</f>
        <v>44508.649999999965</v>
      </c>
      <c r="P9" s="201">
        <f>O9-N9</f>
        <v>-24525.75</v>
      </c>
      <c r="Q9" s="198">
        <f>O9/N9*100</f>
        <v>64.473146721055</v>
      </c>
      <c r="R9" s="106"/>
      <c r="S9" s="107"/>
      <c r="T9" s="186">
        <f>D9-E9</f>
        <v>198295.33000000002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295370.24</v>
      </c>
      <c r="F10" s="171">
        <v>298673.41</v>
      </c>
      <c r="G10" s="109">
        <f t="shared" si="0"/>
        <v>3303.1699999999837</v>
      </c>
      <c r="H10" s="32">
        <f aca="true" t="shared" si="3" ref="H10:H36">F10/E10*100</f>
        <v>101.11831510175162</v>
      </c>
      <c r="I10" s="110">
        <f aca="true" t="shared" si="4" ref="I10:I37">F10-D10</f>
        <v>-186535.59000000003</v>
      </c>
      <c r="J10" s="110">
        <f aca="true" t="shared" si="5" ref="J10:J36">F10/D10*100</f>
        <v>61.55562036153492</v>
      </c>
      <c r="K10" s="112">
        <v>206618.21</v>
      </c>
      <c r="L10" s="112">
        <f t="shared" si="1"/>
        <v>92055.19999999998</v>
      </c>
      <c r="M10" s="252">
        <f t="shared" si="2"/>
        <v>1.4455328501781135</v>
      </c>
      <c r="N10" s="111">
        <f>E10-липень!E10</f>
        <v>61354.399999999994</v>
      </c>
      <c r="O10" s="179">
        <f>F10-липень!F10</f>
        <v>39567.50999999998</v>
      </c>
      <c r="P10" s="112">
        <f aca="true" t="shared" si="6" ref="P10:P37">O10-N10</f>
        <v>-21786.890000000014</v>
      </c>
      <c r="Q10" s="198">
        <f aca="true" t="shared" si="7" ref="Q10:Q16">O10/N10*100</f>
        <v>64.49009362001745</v>
      </c>
      <c r="R10" s="42"/>
      <c r="S10" s="100"/>
      <c r="T10" s="186">
        <f aca="true" t="shared" si="8" ref="T10:T73">D10-E10</f>
        <v>189838.76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19714.94</v>
      </c>
      <c r="F11" s="171">
        <v>24998.93</v>
      </c>
      <c r="G11" s="109">
        <f t="shared" si="0"/>
        <v>5283.990000000002</v>
      </c>
      <c r="H11" s="32">
        <f t="shared" si="3"/>
        <v>126.80195831181835</v>
      </c>
      <c r="I11" s="110">
        <f t="shared" si="4"/>
        <v>1998.9300000000003</v>
      </c>
      <c r="J11" s="110">
        <f t="shared" si="5"/>
        <v>108.691</v>
      </c>
      <c r="K11" s="112">
        <v>12408.56</v>
      </c>
      <c r="L11" s="112">
        <f t="shared" si="1"/>
        <v>12590.37</v>
      </c>
      <c r="M11" s="252">
        <f t="shared" si="2"/>
        <v>2.0146519821800437</v>
      </c>
      <c r="N11" s="111">
        <f>E11-липень!E11</f>
        <v>3799.999999999998</v>
      </c>
      <c r="O11" s="179">
        <f>F11-липень!F11</f>
        <v>3412.9000000000015</v>
      </c>
      <c r="P11" s="112">
        <f t="shared" si="6"/>
        <v>-387.0999999999967</v>
      </c>
      <c r="Q11" s="198">
        <f t="shared" si="7"/>
        <v>89.81315789473693</v>
      </c>
      <c r="R11" s="42"/>
      <c r="S11" s="100"/>
      <c r="T11" s="186">
        <f t="shared" si="8"/>
        <v>3285.0600000000013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5400.61</v>
      </c>
      <c r="F12" s="171">
        <v>6686.39</v>
      </c>
      <c r="G12" s="109">
        <f t="shared" si="0"/>
        <v>1285.7800000000007</v>
      </c>
      <c r="H12" s="32">
        <f t="shared" si="3"/>
        <v>123.8080513127221</v>
      </c>
      <c r="I12" s="110">
        <f t="shared" si="4"/>
        <v>186.39000000000033</v>
      </c>
      <c r="J12" s="110">
        <f t="shared" si="5"/>
        <v>102.86753846153846</v>
      </c>
      <c r="K12" s="112">
        <v>3331.36</v>
      </c>
      <c r="L12" s="112">
        <f t="shared" si="1"/>
        <v>3355.03</v>
      </c>
      <c r="M12" s="252">
        <f t="shared" si="2"/>
        <v>2.007105206282119</v>
      </c>
      <c r="N12" s="111">
        <f>E12-липень!E12</f>
        <v>2129.9999999999995</v>
      </c>
      <c r="O12" s="179">
        <f>F12-липень!F12</f>
        <v>848.9500000000007</v>
      </c>
      <c r="P12" s="112">
        <f t="shared" si="6"/>
        <v>-1281.0499999999988</v>
      </c>
      <c r="Q12" s="198">
        <f t="shared" si="7"/>
        <v>39.85680751173713</v>
      </c>
      <c r="R12" s="42"/>
      <c r="S12" s="100"/>
      <c r="T12" s="186">
        <f t="shared" si="8"/>
        <v>1099.3900000000003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8364.84</v>
      </c>
      <c r="F13" s="171">
        <v>7017.25</v>
      </c>
      <c r="G13" s="109">
        <f t="shared" si="0"/>
        <v>-1347.5900000000001</v>
      </c>
      <c r="H13" s="32">
        <f t="shared" si="3"/>
        <v>83.88982933325681</v>
      </c>
      <c r="I13" s="110">
        <f t="shared" si="4"/>
        <v>-5382.75</v>
      </c>
      <c r="J13" s="110">
        <f t="shared" si="5"/>
        <v>56.590725806451616</v>
      </c>
      <c r="K13" s="112">
        <v>4976.73</v>
      </c>
      <c r="L13" s="112">
        <f t="shared" si="1"/>
        <v>2040.5200000000004</v>
      </c>
      <c r="M13" s="252">
        <f t="shared" si="2"/>
        <v>1.4100121967637385</v>
      </c>
      <c r="N13" s="111">
        <f>E13-липень!E13</f>
        <v>1600</v>
      </c>
      <c r="O13" s="179">
        <f>F13-липень!F13</f>
        <v>587.79</v>
      </c>
      <c r="P13" s="112">
        <f t="shared" si="6"/>
        <v>-1012.21</v>
      </c>
      <c r="Q13" s="198">
        <f t="shared" si="7"/>
        <v>36.736875</v>
      </c>
      <c r="R13" s="42"/>
      <c r="S13" s="100"/>
      <c r="T13" s="186">
        <f t="shared" si="8"/>
        <v>4035.16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3443.04</v>
      </c>
      <c r="F14" s="171">
        <v>2542.38</v>
      </c>
      <c r="G14" s="109">
        <f t="shared" si="0"/>
        <v>-900.6599999999999</v>
      </c>
      <c r="H14" s="32">
        <f t="shared" si="3"/>
        <v>73.84114038756448</v>
      </c>
      <c r="I14" s="110">
        <f t="shared" si="4"/>
        <v>-937.6199999999999</v>
      </c>
      <c r="J14" s="110">
        <f t="shared" si="5"/>
        <v>73.05689655172414</v>
      </c>
      <c r="K14" s="112">
        <v>6376.14</v>
      </c>
      <c r="L14" s="112">
        <f t="shared" si="1"/>
        <v>-3833.76</v>
      </c>
      <c r="M14" s="252">
        <f t="shared" si="2"/>
        <v>0.39873340296793985</v>
      </c>
      <c r="N14" s="111">
        <f>E14-липень!E14</f>
        <v>150</v>
      </c>
      <c r="O14" s="179">
        <f>F14-липень!F14</f>
        <v>91.5</v>
      </c>
      <c r="P14" s="112">
        <f t="shared" si="6"/>
        <v>-58.5</v>
      </c>
      <c r="Q14" s="198">
        <f t="shared" si="7"/>
        <v>61</v>
      </c>
      <c r="R14" s="42"/>
      <c r="S14" s="100"/>
      <c r="T14" s="186">
        <f t="shared" si="8"/>
        <v>36.960000000000036</v>
      </c>
      <c r="U14" s="273">
        <v>2880</v>
      </c>
      <c r="V14" s="186">
        <f>U14-T14</f>
        <v>2843.04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365</v>
      </c>
      <c r="F15" s="196">
        <v>385.26</v>
      </c>
      <c r="G15" s="190">
        <f t="shared" si="0"/>
        <v>20.25999999999999</v>
      </c>
      <c r="H15" s="197">
        <f>F15/E15*100</f>
        <v>105.55068493150685</v>
      </c>
      <c r="I15" s="198">
        <f t="shared" si="4"/>
        <v>-114.74000000000001</v>
      </c>
      <c r="J15" s="198">
        <f t="shared" si="5"/>
        <v>77.05199999999999</v>
      </c>
      <c r="K15" s="201">
        <v>-734.58</v>
      </c>
      <c r="L15" s="201">
        <f t="shared" si="1"/>
        <v>1119.8400000000001</v>
      </c>
      <c r="M15" s="253">
        <f t="shared" si="2"/>
        <v>-0.5244629584252225</v>
      </c>
      <c r="N15" s="197">
        <f>E15-липень!E15</f>
        <v>115</v>
      </c>
      <c r="O15" s="200">
        <f>F15-липень!F15</f>
        <v>76.01999999999998</v>
      </c>
      <c r="P15" s="201">
        <f t="shared" si="6"/>
        <v>-38.98000000000002</v>
      </c>
      <c r="Q15" s="198">
        <f t="shared" si="7"/>
        <v>66.10434782608694</v>
      </c>
      <c r="R15" s="42"/>
      <c r="S15" s="100"/>
      <c r="T15" s="186">
        <f t="shared" si="8"/>
        <v>135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E16-липень!E16</f>
        <v>0</v>
      </c>
      <c r="O16" s="200">
        <f>F16-липень!F16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E17-липень!E17</f>
        <v>0</v>
      </c>
      <c r="O17" s="200">
        <f>F17-липень!F17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E18-липень!E18</f>
        <v>95.8</v>
      </c>
      <c r="O18" s="200">
        <f>F18-липень!F18</f>
        <v>0</v>
      </c>
      <c r="P18" s="201">
        <f t="shared" si="6"/>
        <v>-95.8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69260.4</v>
      </c>
      <c r="F19" s="196">
        <v>64436.28</v>
      </c>
      <c r="G19" s="190">
        <f t="shared" si="0"/>
        <v>-4824.119999999995</v>
      </c>
      <c r="H19" s="197">
        <f t="shared" si="3"/>
        <v>93.03480776894156</v>
      </c>
      <c r="I19" s="198">
        <f t="shared" si="4"/>
        <v>-45463.72</v>
      </c>
      <c r="J19" s="198">
        <f t="shared" si="5"/>
        <v>58.63173794358507</v>
      </c>
      <c r="K19" s="209">
        <v>43877.66</v>
      </c>
      <c r="L19" s="201">
        <f t="shared" si="1"/>
        <v>20558.619999999995</v>
      </c>
      <c r="M19" s="259">
        <f t="shared" si="2"/>
        <v>1.468544129290395</v>
      </c>
      <c r="N19" s="197">
        <f>E19-липень!E19</f>
        <v>10499.999999999993</v>
      </c>
      <c r="O19" s="200">
        <f>F19-липень!F19</f>
        <v>10145.080000000002</v>
      </c>
      <c r="P19" s="201">
        <f t="shared" si="6"/>
        <v>-354.919999999991</v>
      </c>
      <c r="Q19" s="198">
        <f aca="true" t="shared" si="9" ref="Q19:Q24">O19/N19*100</f>
        <v>96.61980952380961</v>
      </c>
      <c r="R19" s="113"/>
      <c r="S19" s="114"/>
      <c r="T19" s="186">
        <f t="shared" si="8"/>
        <v>40639.600000000006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292976.65</v>
      </c>
      <c r="E20" s="190">
        <f>E21+E30+E32+E29</f>
        <v>227333.11</v>
      </c>
      <c r="F20" s="272">
        <f>F21+F29+F30+F31+F32</f>
        <v>228674.96</v>
      </c>
      <c r="G20" s="190">
        <f t="shared" si="0"/>
        <v>1341.8500000000058</v>
      </c>
      <c r="H20" s="197">
        <f t="shared" si="3"/>
        <v>100.5902571781119</v>
      </c>
      <c r="I20" s="198">
        <f t="shared" si="4"/>
        <v>-64301.69000000003</v>
      </c>
      <c r="J20" s="198">
        <f t="shared" si="5"/>
        <v>78.05228164087478</v>
      </c>
      <c r="K20" s="198">
        <v>147068.17</v>
      </c>
      <c r="L20" s="201">
        <f t="shared" si="1"/>
        <v>81606.78999999998</v>
      </c>
      <c r="M20" s="254">
        <f t="shared" si="2"/>
        <v>1.554890905353619</v>
      </c>
      <c r="N20" s="197">
        <f>N21+N30+N31+N32</f>
        <v>50661.5</v>
      </c>
      <c r="O20" s="200">
        <f>F20-липень!F20</f>
        <v>34984.119999999995</v>
      </c>
      <c r="P20" s="201">
        <f t="shared" si="6"/>
        <v>-15677.380000000005</v>
      </c>
      <c r="Q20" s="198">
        <f t="shared" si="9"/>
        <v>69.05464701992636</v>
      </c>
      <c r="R20" s="113"/>
      <c r="S20" s="114"/>
      <c r="T20" s="186">
        <f t="shared" si="8"/>
        <v>65643.54000000004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120768.95999999999</v>
      </c>
      <c r="F21" s="211">
        <f>F22+F25+F26</f>
        <v>121679.97</v>
      </c>
      <c r="G21" s="190">
        <f t="shared" si="0"/>
        <v>911.0100000000093</v>
      </c>
      <c r="H21" s="197">
        <f t="shared" si="3"/>
        <v>100.75434118170763</v>
      </c>
      <c r="I21" s="198">
        <f t="shared" si="4"/>
        <v>-53219.67999999999</v>
      </c>
      <c r="J21" s="198">
        <f t="shared" si="5"/>
        <v>69.57130560295576</v>
      </c>
      <c r="K21" s="198">
        <v>79798.88</v>
      </c>
      <c r="L21" s="201">
        <f t="shared" si="1"/>
        <v>41881.09</v>
      </c>
      <c r="M21" s="254">
        <f t="shared" si="2"/>
        <v>1.5248330553010268</v>
      </c>
      <c r="N21" s="197">
        <f>N22+N25+N26</f>
        <v>24280.3</v>
      </c>
      <c r="O21" s="200">
        <f>F21-червень!F21</f>
        <v>35685.58</v>
      </c>
      <c r="P21" s="201">
        <f t="shared" si="6"/>
        <v>11405.280000000002</v>
      </c>
      <c r="Q21" s="198">
        <f t="shared" si="9"/>
        <v>146.9733899498771</v>
      </c>
      <c r="R21" s="113"/>
      <c r="S21" s="114"/>
      <c r="T21" s="186">
        <f t="shared" si="8"/>
        <v>54130.69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14576.9</v>
      </c>
      <c r="F22" s="213">
        <v>14873.47</v>
      </c>
      <c r="G22" s="212">
        <f t="shared" si="0"/>
        <v>296.5699999999997</v>
      </c>
      <c r="H22" s="214">
        <f t="shared" si="3"/>
        <v>102.03452037127236</v>
      </c>
      <c r="I22" s="215">
        <f t="shared" si="4"/>
        <v>-3626.5300000000007</v>
      </c>
      <c r="J22" s="215">
        <f t="shared" si="5"/>
        <v>80.39713513513513</v>
      </c>
      <c r="K22" s="216">
        <v>8673.74</v>
      </c>
      <c r="L22" s="206">
        <f t="shared" si="1"/>
        <v>6199.73</v>
      </c>
      <c r="M22" s="262">
        <f t="shared" si="2"/>
        <v>1.7147700991729058</v>
      </c>
      <c r="N22" s="214">
        <f>E22-липень!E22</f>
        <v>1985.2999999999993</v>
      </c>
      <c r="O22" s="217">
        <f>F22-липень!F22</f>
        <v>1003.3299999999999</v>
      </c>
      <c r="P22" s="218">
        <f t="shared" si="6"/>
        <v>-981.9699999999993</v>
      </c>
      <c r="Q22" s="215">
        <f t="shared" si="9"/>
        <v>50.53795396161791</v>
      </c>
      <c r="R22" s="113"/>
      <c r="S22" s="114"/>
      <c r="T22" s="186">
        <f t="shared" si="8"/>
        <v>3923.1000000000004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874.4</v>
      </c>
      <c r="F23" s="203">
        <v>623.64</v>
      </c>
      <c r="G23" s="241">
        <f t="shared" si="0"/>
        <v>-250.76</v>
      </c>
      <c r="H23" s="242">
        <f t="shared" si="3"/>
        <v>71.3220494053065</v>
      </c>
      <c r="I23" s="243">
        <f t="shared" si="4"/>
        <v>-1376.3600000000001</v>
      </c>
      <c r="J23" s="243">
        <f t="shared" si="5"/>
        <v>31.182</v>
      </c>
      <c r="K23" s="261">
        <v>526.9</v>
      </c>
      <c r="L23" s="261">
        <f t="shared" si="1"/>
        <v>96.74000000000001</v>
      </c>
      <c r="M23" s="263">
        <f t="shared" si="2"/>
        <v>1.1836022015562726</v>
      </c>
      <c r="N23" s="239">
        <f>E23-липень!E23</f>
        <v>185.29999999999995</v>
      </c>
      <c r="O23" s="239">
        <f>F23-липень!F23</f>
        <v>85.80999999999995</v>
      </c>
      <c r="P23" s="240">
        <f t="shared" si="6"/>
        <v>-99.49000000000001</v>
      </c>
      <c r="Q23" s="240">
        <f t="shared" si="9"/>
        <v>46.308688613059886</v>
      </c>
      <c r="R23" s="113"/>
      <c r="S23" s="114"/>
      <c r="T23" s="186">
        <f t="shared" si="8"/>
        <v>1125.6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13702.5</v>
      </c>
      <c r="F24" s="203">
        <v>14249.83</v>
      </c>
      <c r="G24" s="241">
        <f t="shared" si="0"/>
        <v>547.3299999999999</v>
      </c>
      <c r="H24" s="242">
        <f t="shared" si="3"/>
        <v>103.99438058748403</v>
      </c>
      <c r="I24" s="243">
        <f t="shared" si="4"/>
        <v>-2250.17</v>
      </c>
      <c r="J24" s="243">
        <f t="shared" si="5"/>
        <v>86.36260606060605</v>
      </c>
      <c r="K24" s="261">
        <v>8146.84</v>
      </c>
      <c r="L24" s="261">
        <f t="shared" si="1"/>
        <v>6102.99</v>
      </c>
      <c r="M24" s="263">
        <f t="shared" si="2"/>
        <v>1.7491235865685346</v>
      </c>
      <c r="N24" s="239">
        <f>E24-липень!E24</f>
        <v>1800</v>
      </c>
      <c r="O24" s="239">
        <f>F24-липень!F24</f>
        <v>917.5200000000004</v>
      </c>
      <c r="P24" s="240">
        <f t="shared" si="6"/>
        <v>-882.4799999999996</v>
      </c>
      <c r="Q24" s="240">
        <f t="shared" si="9"/>
        <v>50.97333333333336</v>
      </c>
      <c r="R24" s="113"/>
      <c r="S24" s="114"/>
      <c r="T24" s="186">
        <f t="shared" si="8"/>
        <v>2797.5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893.14</v>
      </c>
      <c r="F25" s="213">
        <v>669</v>
      </c>
      <c r="G25" s="212">
        <f t="shared" si="0"/>
        <v>-224.14</v>
      </c>
      <c r="H25" s="214">
        <f t="shared" si="3"/>
        <v>74.90427032716036</v>
      </c>
      <c r="I25" s="215">
        <f t="shared" si="4"/>
        <v>-331</v>
      </c>
      <c r="J25" s="215">
        <f t="shared" si="5"/>
        <v>66.9</v>
      </c>
      <c r="K25" s="215">
        <v>3116.95</v>
      </c>
      <c r="L25" s="215">
        <f t="shared" si="1"/>
        <v>-2447.95</v>
      </c>
      <c r="M25" s="257">
        <f t="shared" si="2"/>
        <v>0.21463289433580907</v>
      </c>
      <c r="N25" s="214">
        <f>E25-липень!E25</f>
        <v>200</v>
      </c>
      <c r="O25" s="217">
        <f>F25-липень!F25</f>
        <v>190.2</v>
      </c>
      <c r="P25" s="218">
        <f t="shared" si="6"/>
        <v>-9.800000000000011</v>
      </c>
      <c r="Q25" s="215"/>
      <c r="R25" s="113"/>
      <c r="S25" s="114"/>
      <c r="T25" s="186">
        <f t="shared" si="8"/>
        <v>106.86000000000001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f>103968.92+677+453+200</f>
        <v>105298.92</v>
      </c>
      <c r="F26" s="213">
        <v>106137.5</v>
      </c>
      <c r="G26" s="212">
        <f t="shared" si="0"/>
        <v>838.5800000000017</v>
      </c>
      <c r="H26" s="214">
        <f t="shared" si="3"/>
        <v>100.79638043771008</v>
      </c>
      <c r="I26" s="215">
        <f t="shared" si="4"/>
        <v>-49262.149999999994</v>
      </c>
      <c r="J26" s="215">
        <f t="shared" si="5"/>
        <v>68.2997033777103</v>
      </c>
      <c r="K26" s="216">
        <v>68008.19</v>
      </c>
      <c r="L26" s="216">
        <f t="shared" si="1"/>
        <v>38129.31</v>
      </c>
      <c r="M26" s="256">
        <f t="shared" si="2"/>
        <v>1.5606576207953777</v>
      </c>
      <c r="N26" s="214">
        <f>E26-липень!E26</f>
        <v>22095</v>
      </c>
      <c r="O26" s="217">
        <f>F26-липень!F26</f>
        <v>14529.710000000006</v>
      </c>
      <c r="P26" s="218">
        <f t="shared" si="6"/>
        <v>-7565.289999999994</v>
      </c>
      <c r="Q26" s="215">
        <f>O26/N26*100</f>
        <v>65.76017198461194</v>
      </c>
      <c r="R26" s="113"/>
      <c r="S26" s="114"/>
      <c r="T26" s="186">
        <f t="shared" si="8"/>
        <v>50100.729999999996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33291.75</v>
      </c>
      <c r="F27" s="203">
        <v>34037.82</v>
      </c>
      <c r="G27" s="241">
        <f t="shared" si="0"/>
        <v>746.0699999999997</v>
      </c>
      <c r="H27" s="242">
        <f t="shared" si="3"/>
        <v>102.24100565455404</v>
      </c>
      <c r="I27" s="243">
        <f t="shared" si="4"/>
        <v>-13329.18</v>
      </c>
      <c r="J27" s="243">
        <f t="shared" si="5"/>
        <v>71.8597757932738</v>
      </c>
      <c r="K27" s="261">
        <v>18442.07</v>
      </c>
      <c r="L27" s="261">
        <f t="shared" si="1"/>
        <v>15595.75</v>
      </c>
      <c r="M27" s="263">
        <f t="shared" si="2"/>
        <v>1.8456615770355498</v>
      </c>
      <c r="N27" s="239">
        <f>E27-липень!E27</f>
        <v>9447</v>
      </c>
      <c r="O27" s="239">
        <f>F27-липень!F27</f>
        <v>4752.060000000001</v>
      </c>
      <c r="P27" s="240">
        <f t="shared" si="6"/>
        <v>-4694.939999999999</v>
      </c>
      <c r="Q27" s="240">
        <f>O27/N27*100</f>
        <v>50.30231819625279</v>
      </c>
      <c r="R27" s="113"/>
      <c r="S27" s="114"/>
      <c r="T27" s="186">
        <f t="shared" si="8"/>
        <v>14075.25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72007.17</v>
      </c>
      <c r="F28" s="203">
        <v>72099.67</v>
      </c>
      <c r="G28" s="241">
        <f t="shared" si="0"/>
        <v>92.5</v>
      </c>
      <c r="H28" s="242">
        <f t="shared" si="3"/>
        <v>100.128459429804</v>
      </c>
      <c r="I28" s="243">
        <f t="shared" si="4"/>
        <v>-35932.979999999996</v>
      </c>
      <c r="J28" s="243">
        <f t="shared" si="5"/>
        <v>66.73877758251788</v>
      </c>
      <c r="K28" s="261">
        <v>49566.12</v>
      </c>
      <c r="L28" s="261">
        <f t="shared" si="1"/>
        <v>22533.549999999996</v>
      </c>
      <c r="M28" s="263">
        <f t="shared" si="2"/>
        <v>1.4546159755897778</v>
      </c>
      <c r="N28" s="239">
        <f>E28-липень!E28</f>
        <v>12648</v>
      </c>
      <c r="O28" s="239">
        <f>F28-липень!F28</f>
        <v>9777.64</v>
      </c>
      <c r="P28" s="240">
        <f t="shared" si="6"/>
        <v>-2870.3600000000006</v>
      </c>
      <c r="Q28" s="240">
        <f>O28/N28*100</f>
        <v>77.30581910183427</v>
      </c>
      <c r="R28" s="113"/>
      <c r="S28" s="114"/>
      <c r="T28" s="186">
        <f t="shared" si="8"/>
        <v>36025.479999999996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48.31</v>
      </c>
      <c r="F30" s="196">
        <v>85.95</v>
      </c>
      <c r="G30" s="190">
        <f t="shared" si="0"/>
        <v>37.64</v>
      </c>
      <c r="H30" s="197">
        <f t="shared" si="3"/>
        <v>177.91347547091698</v>
      </c>
      <c r="I30" s="198">
        <f t="shared" si="4"/>
        <v>8.950000000000003</v>
      </c>
      <c r="J30" s="198">
        <f t="shared" si="5"/>
        <v>111.62337662337663</v>
      </c>
      <c r="K30" s="198">
        <v>48.85</v>
      </c>
      <c r="L30" s="198">
        <f t="shared" si="1"/>
        <v>37.1</v>
      </c>
      <c r="M30" s="255">
        <f>F30/K30</f>
        <v>1.759467758444217</v>
      </c>
      <c r="N30" s="197">
        <f>E30-липень!E30</f>
        <v>7.400000000000006</v>
      </c>
      <c r="O30" s="200">
        <f>F30-липень!F30</f>
        <v>20.33</v>
      </c>
      <c r="P30" s="201">
        <f t="shared" si="6"/>
        <v>12.929999999999993</v>
      </c>
      <c r="Q30" s="198">
        <f>O30/N30*100</f>
        <v>274.7297297297295</v>
      </c>
      <c r="R30" s="113"/>
      <c r="S30" s="114"/>
      <c r="T30" s="186">
        <f t="shared" si="8"/>
        <v>28.689999999999998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-150.23</v>
      </c>
      <c r="G31" s="190">
        <f t="shared" si="0"/>
        <v>-150.23</v>
      </c>
      <c r="H31" s="197"/>
      <c r="I31" s="198">
        <f t="shared" si="4"/>
        <v>-150.23</v>
      </c>
      <c r="J31" s="198"/>
      <c r="K31" s="198">
        <v>-614.57</v>
      </c>
      <c r="L31" s="198">
        <f t="shared" si="1"/>
        <v>464.34000000000003</v>
      </c>
      <c r="M31" s="255">
        <f>F31/K31</f>
        <v>0.24444733716256892</v>
      </c>
      <c r="N31" s="197">
        <f>E31-липень!E31</f>
        <v>0</v>
      </c>
      <c r="O31" s="200">
        <f>F31-липень!F31</f>
        <v>-11.5</v>
      </c>
      <c r="P31" s="201">
        <f t="shared" si="6"/>
        <v>-11.5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118000</v>
      </c>
      <c r="E32" s="202">
        <f>98815.84+7700</f>
        <v>106515.84</v>
      </c>
      <c r="F32" s="203">
        <v>107059.12</v>
      </c>
      <c r="G32" s="202">
        <f t="shared" si="0"/>
        <v>543.2799999999988</v>
      </c>
      <c r="H32" s="204">
        <f t="shared" si="3"/>
        <v>100.51004620533435</v>
      </c>
      <c r="I32" s="205">
        <f t="shared" si="4"/>
        <v>-10940.880000000005</v>
      </c>
      <c r="J32" s="205">
        <f t="shared" si="5"/>
        <v>90.72806779661016</v>
      </c>
      <c r="K32" s="219">
        <v>67835.01</v>
      </c>
      <c r="L32" s="219">
        <f>F32-K32</f>
        <v>39224.11</v>
      </c>
      <c r="M32" s="411">
        <f>F32/K32</f>
        <v>1.578228115540928</v>
      </c>
      <c r="N32" s="197">
        <f>E32-липень!E32</f>
        <v>26373.800000000003</v>
      </c>
      <c r="O32" s="200">
        <f>F32-липень!F32</f>
        <v>19252.04999999999</v>
      </c>
      <c r="P32" s="207">
        <f t="shared" si="6"/>
        <v>-7121.750000000015</v>
      </c>
      <c r="Q32" s="205">
        <f>O32/N32*100</f>
        <v>72.996875687235</v>
      </c>
      <c r="R32" s="113"/>
      <c r="S32" s="114"/>
      <c r="T32" s="186">
        <f t="shared" si="8"/>
        <v>11484.160000000003</v>
      </c>
    </row>
    <row r="33" spans="1:20" s="6" customFormat="1" ht="15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-1.2</v>
      </c>
      <c r="L33" s="142">
        <f t="shared" si="1"/>
        <v>1.43</v>
      </c>
      <c r="M33" s="264">
        <f aca="true" t="shared" si="10" ref="M33:M39">F33/K33</f>
        <v>-0.19166666666666668</v>
      </c>
      <c r="N33" s="111">
        <f>E33-липень!E33</f>
        <v>0</v>
      </c>
      <c r="O33" s="179">
        <f>F33-липень!F33</f>
        <v>0.010000000000000009</v>
      </c>
      <c r="P33" s="112">
        <f t="shared" si="6"/>
        <v>0.010000000000000009</v>
      </c>
      <c r="Q33" s="110"/>
      <c r="R33" s="113"/>
      <c r="S33" s="114"/>
      <c r="T33" s="186">
        <f t="shared" si="8"/>
        <v>0</v>
      </c>
    </row>
    <row r="34" spans="1:20" s="6" customFormat="1" ht="15">
      <c r="A34" s="8"/>
      <c r="B34" s="55" t="s">
        <v>95</v>
      </c>
      <c r="C34" s="108">
        <v>18050300</v>
      </c>
      <c r="D34" s="109">
        <v>28217</v>
      </c>
      <c r="E34" s="109">
        <v>26962.97</v>
      </c>
      <c r="F34" s="171">
        <v>27383.08</v>
      </c>
      <c r="G34" s="109">
        <f t="shared" si="0"/>
        <v>420.1100000000006</v>
      </c>
      <c r="H34" s="111">
        <f t="shared" si="3"/>
        <v>101.55809986807833</v>
      </c>
      <c r="I34" s="110">
        <f t="shared" si="4"/>
        <v>-833.9199999999983</v>
      </c>
      <c r="J34" s="110">
        <f t="shared" si="5"/>
        <v>97.0446184923982</v>
      </c>
      <c r="K34" s="142">
        <v>16931.33</v>
      </c>
      <c r="L34" s="142">
        <f t="shared" si="1"/>
        <v>10451.75</v>
      </c>
      <c r="M34" s="264">
        <f t="shared" si="10"/>
        <v>1.617302361952664</v>
      </c>
      <c r="N34" s="111">
        <f>E34-липень!E34</f>
        <v>7267</v>
      </c>
      <c r="O34" s="179">
        <f>F34-липень!F34</f>
        <v>5628.570000000003</v>
      </c>
      <c r="P34" s="112">
        <f t="shared" si="6"/>
        <v>-1638.4299999999967</v>
      </c>
      <c r="Q34" s="110">
        <f>O34/N34*100</f>
        <v>77.45383239300953</v>
      </c>
      <c r="R34" s="113"/>
      <c r="S34" s="114"/>
      <c r="T34" s="186">
        <f t="shared" si="8"/>
        <v>1254.0299999999988</v>
      </c>
    </row>
    <row r="35" spans="1:20" s="6" customFormat="1" ht="15">
      <c r="A35" s="8"/>
      <c r="B35" s="55" t="s">
        <v>96</v>
      </c>
      <c r="C35" s="108">
        <v>18050400</v>
      </c>
      <c r="D35" s="109">
        <v>89732</v>
      </c>
      <c r="E35" s="109">
        <v>79536.08</v>
      </c>
      <c r="F35" s="171">
        <v>79650.8</v>
      </c>
      <c r="G35" s="109">
        <f t="shared" si="0"/>
        <v>114.72000000000116</v>
      </c>
      <c r="H35" s="111">
        <f t="shared" si="3"/>
        <v>100.1442364270404</v>
      </c>
      <c r="I35" s="110">
        <f t="shared" si="4"/>
        <v>-10081.199999999997</v>
      </c>
      <c r="J35" s="110">
        <f t="shared" si="5"/>
        <v>88.76521196451657</v>
      </c>
      <c r="K35" s="142">
        <v>50888.07</v>
      </c>
      <c r="L35" s="142">
        <f t="shared" si="1"/>
        <v>28762.730000000003</v>
      </c>
      <c r="M35" s="264">
        <f t="shared" si="10"/>
        <v>1.5652155799974337</v>
      </c>
      <c r="N35" s="111">
        <f>E35-липень!E35</f>
        <v>19100</v>
      </c>
      <c r="O35" s="179">
        <f>F35-липень!F35</f>
        <v>13618.979999999996</v>
      </c>
      <c r="P35" s="112">
        <f t="shared" si="6"/>
        <v>-5481.020000000004</v>
      </c>
      <c r="Q35" s="110">
        <f>O35/N35*100</f>
        <v>71.30356020942406</v>
      </c>
      <c r="R35" s="113"/>
      <c r="S35" s="114"/>
      <c r="T35" s="186">
        <f t="shared" si="8"/>
        <v>10195.919999999998</v>
      </c>
    </row>
    <row r="36" spans="1:20" s="6" customFormat="1" ht="15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25</v>
      </c>
      <c r="G36" s="109">
        <f t="shared" si="0"/>
        <v>8.21</v>
      </c>
      <c r="H36" s="111">
        <f t="shared" si="3"/>
        <v>148.89815366289457</v>
      </c>
      <c r="I36" s="110">
        <f t="shared" si="4"/>
        <v>-26</v>
      </c>
      <c r="J36" s="110">
        <f t="shared" si="5"/>
        <v>49.01960784313725</v>
      </c>
      <c r="K36" s="142">
        <v>16.81</v>
      </c>
      <c r="L36" s="142">
        <f t="shared" si="1"/>
        <v>8.190000000000001</v>
      </c>
      <c r="M36" s="264">
        <f t="shared" si="10"/>
        <v>1.48720999405116</v>
      </c>
      <c r="N36" s="111">
        <f>E36-липень!E36</f>
        <v>6.799999999999999</v>
      </c>
      <c r="O36" s="179">
        <f>F36-липень!F36</f>
        <v>4.48</v>
      </c>
      <c r="P36" s="112">
        <f t="shared" si="6"/>
        <v>-2.3199999999999985</v>
      </c>
      <c r="Q36" s="110"/>
      <c r="R36" s="113"/>
      <c r="S36" s="114"/>
      <c r="T36" s="186">
        <f t="shared" si="8"/>
        <v>34.21</v>
      </c>
    </row>
    <row r="37" spans="1:20" s="6" customFormat="1" ht="15" customHeight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5573.96</v>
      </c>
      <c r="L37" s="132">
        <f t="shared" si="1"/>
        <v>-5573.96</v>
      </c>
      <c r="M37" s="265">
        <f t="shared" si="10"/>
        <v>0</v>
      </c>
      <c r="N37" s="32">
        <v>0</v>
      </c>
      <c r="O37" s="179">
        <f>F37-липень!F37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56835.48</v>
      </c>
      <c r="E38" s="191">
        <f>E39+E40+E41+E42+E43+E45+E47+E48+E49+E50+E51+E56+E57+E61+E44</f>
        <v>43061.03</v>
      </c>
      <c r="F38" s="191">
        <f>F39+F40+F41+F42+F43+F45+F47+F48+F49+F50+F51+F56+F57+F61+F44</f>
        <v>42988.27</v>
      </c>
      <c r="G38" s="191">
        <f>G39+G40+G41+G42+G43+G45+G47+G48+G49+G50+G51+G56+G57+G61</f>
        <v>-99.90999999999931</v>
      </c>
      <c r="H38" s="192">
        <f>F38/E38*100</f>
        <v>99.83103051645537</v>
      </c>
      <c r="I38" s="193">
        <f>F38-D38</f>
        <v>-13847.210000000006</v>
      </c>
      <c r="J38" s="193">
        <f>F38/D38*100</f>
        <v>75.63632787125223</v>
      </c>
      <c r="K38" s="191">
        <v>21607.34</v>
      </c>
      <c r="L38" s="191">
        <f t="shared" si="1"/>
        <v>21380.929999999997</v>
      </c>
      <c r="M38" s="250">
        <f t="shared" si="10"/>
        <v>1.9895216162655838</v>
      </c>
      <c r="N38" s="191">
        <f>N39+N40+N41+N42+N43+N45+N47+N48+N49+N50+N51+N56+N57+N61+N44</f>
        <v>18066</v>
      </c>
      <c r="O38" s="191">
        <f>O39+O40+O41+O42+O43+O45+O47+O48+O49+O50+O51+O56+O57+O61+O44</f>
        <v>6201.989999999999</v>
      </c>
      <c r="P38" s="191">
        <f>P39+P40+P41+P42+P43+P45+P47+P48+P49+P50+P51+P56+P57+P61</f>
        <v>-11863.68</v>
      </c>
      <c r="Q38" s="191">
        <f>O38/N38*100</f>
        <v>34.329624709398864</v>
      </c>
      <c r="R38" s="15" t="e">
        <f>#N/A</f>
        <v>#N/A</v>
      </c>
      <c r="S38" s="15" t="e">
        <f>#N/A</f>
        <v>#N/A</v>
      </c>
      <c r="T38" s="186">
        <f t="shared" si="8"/>
        <v>13774.450000000004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380</v>
      </c>
      <c r="F39" s="196">
        <v>416.84</v>
      </c>
      <c r="G39" s="202">
        <f>F39-E39</f>
        <v>36.839999999999975</v>
      </c>
      <c r="H39" s="204">
        <f aca="true" t="shared" si="11" ref="H39:H62">F39/E39*100</f>
        <v>109.69473684210527</v>
      </c>
      <c r="I39" s="205">
        <f>F39-D39</f>
        <v>16.839999999999975</v>
      </c>
      <c r="J39" s="205">
        <f>F39/D39*100</f>
        <v>104.21000000000001</v>
      </c>
      <c r="K39" s="205">
        <v>-60.36</v>
      </c>
      <c r="L39" s="205">
        <f t="shared" si="1"/>
        <v>477.2</v>
      </c>
      <c r="M39" s="266">
        <f t="shared" si="10"/>
        <v>-6.905897945659377</v>
      </c>
      <c r="N39" s="204">
        <f>E39-липень!E39</f>
        <v>310</v>
      </c>
      <c r="O39" s="208">
        <f>F39-липень!F39</f>
        <v>175.45</v>
      </c>
      <c r="P39" s="207">
        <f>O39-N39</f>
        <v>-134.55</v>
      </c>
      <c r="Q39" s="205">
        <f aca="true" t="shared" si="12" ref="Q39:Q62">O39/N39*100</f>
        <v>56.596774193548384</v>
      </c>
      <c r="R39" s="42"/>
      <c r="S39" s="100"/>
      <c r="T39" s="186">
        <f t="shared" si="8"/>
        <v>20</v>
      </c>
    </row>
    <row r="40" spans="1:20" s="6" customFormat="1" ht="30.75">
      <c r="A40" s="8"/>
      <c r="B40" s="144" t="s">
        <v>80</v>
      </c>
      <c r="C40" s="47">
        <v>21050000</v>
      </c>
      <c r="D40" s="190">
        <v>25000</v>
      </c>
      <c r="E40" s="190">
        <f>17767+2700</f>
        <v>20467</v>
      </c>
      <c r="F40" s="196">
        <v>20560.18</v>
      </c>
      <c r="G40" s="202">
        <f aca="true" t="shared" si="13" ref="G40:G63">F40-E40</f>
        <v>93.18000000000029</v>
      </c>
      <c r="H40" s="204">
        <f t="shared" si="11"/>
        <v>100.45526945815215</v>
      </c>
      <c r="I40" s="205">
        <f aca="true" t="shared" si="14" ref="I40:I63">F40-D40</f>
        <v>-4439.82</v>
      </c>
      <c r="J40" s="205">
        <f>F40/D40*100</f>
        <v>82.24072</v>
      </c>
      <c r="K40" s="205">
        <v>201.37</v>
      </c>
      <c r="L40" s="205">
        <f t="shared" si="1"/>
        <v>20358.81</v>
      </c>
      <c r="M40" s="266"/>
      <c r="N40" s="204">
        <f>E40-липень!E40</f>
        <v>12930</v>
      </c>
      <c r="O40" s="208">
        <f>F40-липень!F40</f>
        <v>3289.16</v>
      </c>
      <c r="P40" s="207">
        <f aca="true" t="shared" si="15" ref="P40:P63">O40-N40</f>
        <v>-9640.84</v>
      </c>
      <c r="Q40" s="205">
        <f t="shared" si="12"/>
        <v>25.43820572312451</v>
      </c>
      <c r="R40" s="42"/>
      <c r="S40" s="100"/>
      <c r="T40" s="186">
        <f t="shared" si="8"/>
        <v>4533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28.07</v>
      </c>
      <c r="G41" s="202">
        <f t="shared" si="13"/>
        <v>-83.37</v>
      </c>
      <c r="H41" s="204">
        <f t="shared" si="11"/>
        <v>25.18844221105528</v>
      </c>
      <c r="I41" s="205">
        <f t="shared" si="14"/>
        <v>-83.37</v>
      </c>
      <c r="J41" s="205">
        <f aca="true" t="shared" si="16" ref="J41:J62">F41/D41*100</f>
        <v>25.18844221105528</v>
      </c>
      <c r="K41" s="205">
        <v>307.2</v>
      </c>
      <c r="L41" s="205">
        <f t="shared" si="1"/>
        <v>-279.13</v>
      </c>
      <c r="M41" s="266">
        <f aca="true" t="shared" si="17" ref="M41:M63">F41/K41</f>
        <v>0.09137369791666668</v>
      </c>
      <c r="N41" s="204">
        <f>E41-липень!E41</f>
        <v>0</v>
      </c>
      <c r="O41" s="208">
        <f>F41-липень!F41</f>
        <v>0</v>
      </c>
      <c r="P41" s="207">
        <f t="shared" si="15"/>
        <v>0</v>
      </c>
      <c r="Q41" s="205" t="e">
        <f t="shared" si="12"/>
        <v>#DIV/0!</v>
      </c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E42-липень!E42</f>
        <v>0</v>
      </c>
      <c r="O42" s="208">
        <f>F42-липень!F42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80</v>
      </c>
      <c r="F43" s="196">
        <v>195.12</v>
      </c>
      <c r="G43" s="202">
        <f t="shared" si="13"/>
        <v>115.12</v>
      </c>
      <c r="H43" s="204">
        <f t="shared" si="11"/>
        <v>243.9</v>
      </c>
      <c r="I43" s="205">
        <f t="shared" si="14"/>
        <v>45.120000000000005</v>
      </c>
      <c r="J43" s="205">
        <f t="shared" si="16"/>
        <v>130.07999999999998</v>
      </c>
      <c r="K43" s="205">
        <v>104.06</v>
      </c>
      <c r="L43" s="205">
        <f t="shared" si="1"/>
        <v>91.06</v>
      </c>
      <c r="M43" s="266">
        <f t="shared" si="17"/>
        <v>1.8750720738035749</v>
      </c>
      <c r="N43" s="204">
        <f>E43-липень!E43</f>
        <v>10</v>
      </c>
      <c r="O43" s="208">
        <f>F43-липень!F43</f>
        <v>7.159999999999997</v>
      </c>
      <c r="P43" s="207">
        <f t="shared" si="15"/>
        <v>-2.8400000000000034</v>
      </c>
      <c r="Q43" s="205">
        <f t="shared" si="12"/>
        <v>71.59999999999997</v>
      </c>
      <c r="R43" s="42"/>
      <c r="S43" s="100"/>
      <c r="T43" s="186">
        <f t="shared" si="8"/>
        <v>70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41.15</v>
      </c>
      <c r="G44" s="202">
        <f t="shared" si="13"/>
        <v>27.15</v>
      </c>
      <c r="H44" s="204"/>
      <c r="I44" s="205">
        <f t="shared" si="14"/>
        <v>27.15</v>
      </c>
      <c r="J44" s="205"/>
      <c r="K44" s="205">
        <v>3.5</v>
      </c>
      <c r="L44" s="205">
        <f t="shared" si="1"/>
        <v>37.65</v>
      </c>
      <c r="M44" s="266">
        <f t="shared" si="17"/>
        <v>11.757142857142856</v>
      </c>
      <c r="N44" s="204">
        <f>E44-липень!E44</f>
        <v>14</v>
      </c>
      <c r="O44" s="208">
        <f>F44-липень!F44</f>
        <v>13.669999999999998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256</v>
      </c>
      <c r="F45" s="196">
        <v>328.11</v>
      </c>
      <c r="G45" s="202">
        <f t="shared" si="13"/>
        <v>72.11000000000001</v>
      </c>
      <c r="H45" s="204">
        <f t="shared" si="11"/>
        <v>128.16796875</v>
      </c>
      <c r="I45" s="205">
        <f t="shared" si="14"/>
        <v>28.110000000000014</v>
      </c>
      <c r="J45" s="205">
        <f t="shared" si="16"/>
        <v>109.37</v>
      </c>
      <c r="K45" s="205">
        <v>0</v>
      </c>
      <c r="L45" s="205">
        <f t="shared" si="1"/>
        <v>328.11</v>
      </c>
      <c r="M45" s="266"/>
      <c r="N45" s="204">
        <f>E45-липень!E45</f>
        <v>208</v>
      </c>
      <c r="O45" s="208">
        <f>F45-липень!F45</f>
        <v>79.74000000000001</v>
      </c>
      <c r="P45" s="207">
        <f t="shared" si="15"/>
        <v>-128.26</v>
      </c>
      <c r="Q45" s="205">
        <f t="shared" si="12"/>
        <v>38.33653846153847</v>
      </c>
      <c r="R45" s="42"/>
      <c r="S45" s="100"/>
      <c r="T45" s="186">
        <f t="shared" si="8"/>
        <v>44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E46-липень!E46</f>
        <v>0</v>
      </c>
      <c r="O46" s="208">
        <f>F46-липень!F46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f>6139.02+910</f>
        <v>7049.02</v>
      </c>
      <c r="F47" s="196">
        <v>7062.64</v>
      </c>
      <c r="G47" s="202">
        <f t="shared" si="13"/>
        <v>13.61999999999989</v>
      </c>
      <c r="H47" s="204">
        <f t="shared" si="11"/>
        <v>100.19321834808244</v>
      </c>
      <c r="I47" s="205">
        <f t="shared" si="14"/>
        <v>-2837.3599999999997</v>
      </c>
      <c r="J47" s="205">
        <f t="shared" si="16"/>
        <v>71.33979797979798</v>
      </c>
      <c r="K47" s="205">
        <v>6772.05</v>
      </c>
      <c r="L47" s="205">
        <f t="shared" si="1"/>
        <v>290.59000000000015</v>
      </c>
      <c r="M47" s="266">
        <f t="shared" si="17"/>
        <v>1.0429101970599746</v>
      </c>
      <c r="N47" s="204">
        <f>E47-липень!E47</f>
        <v>1710</v>
      </c>
      <c r="O47" s="208">
        <f>F47-липень!F47</f>
        <v>972.0100000000002</v>
      </c>
      <c r="P47" s="207">
        <f t="shared" si="15"/>
        <v>-737.9899999999998</v>
      </c>
      <c r="Q47" s="205">
        <f t="shared" si="12"/>
        <v>56.84269005847955</v>
      </c>
      <c r="R47" s="42"/>
      <c r="S47" s="100"/>
      <c r="T47" s="186">
        <f t="shared" si="8"/>
        <v>2850.9799999999996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168.26</v>
      </c>
      <c r="G48" s="202">
        <f t="shared" si="13"/>
        <v>-481.74</v>
      </c>
      <c r="H48" s="204">
        <f t="shared" si="11"/>
        <v>25.886153846153842</v>
      </c>
      <c r="I48" s="205">
        <f t="shared" si="14"/>
        <v>-481.74</v>
      </c>
      <c r="J48" s="205">
        <f t="shared" si="16"/>
        <v>25.886153846153842</v>
      </c>
      <c r="K48" s="205">
        <v>0</v>
      </c>
      <c r="L48" s="205">
        <f t="shared" si="1"/>
        <v>168.26</v>
      </c>
      <c r="M48" s="266"/>
      <c r="N48" s="204">
        <f>E48-липень!E48</f>
        <v>0</v>
      </c>
      <c r="O48" s="208">
        <f>F48-липень!F48</f>
        <v>50.86999999999999</v>
      </c>
      <c r="P48" s="207">
        <f t="shared" si="15"/>
        <v>50.86999999999999</v>
      </c>
      <c r="Q48" s="205" t="e">
        <f t="shared" si="12"/>
        <v>#DIV/0!</v>
      </c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28</v>
      </c>
      <c r="F49" s="196">
        <v>15.44</v>
      </c>
      <c r="G49" s="202">
        <f t="shared" si="13"/>
        <v>-12.56</v>
      </c>
      <c r="H49" s="204">
        <f t="shared" si="11"/>
        <v>55.14285714285714</v>
      </c>
      <c r="I49" s="205">
        <f t="shared" si="14"/>
        <v>-34.56</v>
      </c>
      <c r="J49" s="205">
        <f t="shared" si="16"/>
        <v>30.879999999999995</v>
      </c>
      <c r="K49" s="205">
        <v>0</v>
      </c>
      <c r="L49" s="205">
        <f t="shared" si="1"/>
        <v>15.44</v>
      </c>
      <c r="M49" s="266"/>
      <c r="N49" s="204">
        <f>E49-липень!E49</f>
        <v>4</v>
      </c>
      <c r="O49" s="208">
        <f>F49-липень!F49</f>
        <v>6.9</v>
      </c>
      <c r="P49" s="207">
        <f t="shared" si="15"/>
        <v>2.9000000000000004</v>
      </c>
      <c r="Q49" s="205">
        <f t="shared" si="12"/>
        <v>172.5</v>
      </c>
      <c r="R49" s="42"/>
      <c r="S49" s="100"/>
      <c r="T49" s="186">
        <f t="shared" si="8"/>
        <v>22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5266.23</v>
      </c>
      <c r="F50" s="196">
        <v>5068.19</v>
      </c>
      <c r="G50" s="202">
        <f t="shared" si="13"/>
        <v>-198.03999999999996</v>
      </c>
      <c r="H50" s="204">
        <f t="shared" si="11"/>
        <v>96.23943504176611</v>
      </c>
      <c r="I50" s="205">
        <f t="shared" si="14"/>
        <v>-2931.8100000000004</v>
      </c>
      <c r="J50" s="205">
        <f t="shared" si="16"/>
        <v>63.352374999999995</v>
      </c>
      <c r="K50" s="205">
        <v>5864.85</v>
      </c>
      <c r="L50" s="205">
        <f t="shared" si="1"/>
        <v>-796.6600000000008</v>
      </c>
      <c r="M50" s="266">
        <f t="shared" si="17"/>
        <v>0.8641636188478817</v>
      </c>
      <c r="N50" s="204">
        <f>E50-липень!E50</f>
        <v>650</v>
      </c>
      <c r="O50" s="208">
        <f>F50-липень!F50</f>
        <v>570.1899999999996</v>
      </c>
      <c r="P50" s="207">
        <f t="shared" si="15"/>
        <v>-79.8100000000004</v>
      </c>
      <c r="Q50" s="205">
        <f t="shared" si="12"/>
        <v>87.7215384615384</v>
      </c>
      <c r="R50" s="42"/>
      <c r="S50" s="100"/>
      <c r="T50" s="186">
        <f t="shared" si="8"/>
        <v>2733.7700000000004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4391.19</v>
      </c>
      <c r="F51" s="196">
        <v>4347.61</v>
      </c>
      <c r="G51" s="202">
        <f t="shared" si="13"/>
        <v>-43.57999999999993</v>
      </c>
      <c r="H51" s="204">
        <f t="shared" si="11"/>
        <v>99.00755831562743</v>
      </c>
      <c r="I51" s="205">
        <f t="shared" si="14"/>
        <v>-2652.4300000000003</v>
      </c>
      <c r="J51" s="205">
        <f t="shared" si="16"/>
        <v>62.108359380803535</v>
      </c>
      <c r="K51" s="205">
        <v>5221.43</v>
      </c>
      <c r="L51" s="205">
        <f t="shared" si="1"/>
        <v>-873.8200000000006</v>
      </c>
      <c r="M51" s="266">
        <f t="shared" si="17"/>
        <v>0.8326473782086515</v>
      </c>
      <c r="N51" s="204">
        <f>E51-липень!E51</f>
        <v>519.9999999999995</v>
      </c>
      <c r="O51" s="208">
        <f>F51-липень!F51</f>
        <v>622.8199999999997</v>
      </c>
      <c r="P51" s="207">
        <f t="shared" si="15"/>
        <v>102.82000000000016</v>
      </c>
      <c r="Q51" s="205">
        <f t="shared" si="12"/>
        <v>119.77307692307697</v>
      </c>
      <c r="R51" s="42"/>
      <c r="S51" s="100"/>
      <c r="T51" s="186">
        <f t="shared" si="8"/>
        <v>2608.8500000000004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663.99</v>
      </c>
      <c r="F52" s="171">
        <v>570.13</v>
      </c>
      <c r="G52" s="36">
        <f t="shared" si="13"/>
        <v>-93.86000000000001</v>
      </c>
      <c r="H52" s="32">
        <f t="shared" si="11"/>
        <v>85.86424494344794</v>
      </c>
      <c r="I52" s="110">
        <f t="shared" si="14"/>
        <v>-399.87</v>
      </c>
      <c r="J52" s="110">
        <f t="shared" si="16"/>
        <v>58.77628865979382</v>
      </c>
      <c r="K52" s="110">
        <v>735.13</v>
      </c>
      <c r="L52" s="110">
        <f>F52-K52</f>
        <v>-165</v>
      </c>
      <c r="M52" s="115">
        <f t="shared" si="17"/>
        <v>0.7755499027382912</v>
      </c>
      <c r="N52" s="111">
        <f>E52-липень!E52</f>
        <v>20</v>
      </c>
      <c r="O52" s="179">
        <f>F52-липень!F52</f>
        <v>65.99000000000001</v>
      </c>
      <c r="P52" s="112">
        <f t="shared" si="15"/>
        <v>45.99000000000001</v>
      </c>
      <c r="Q52" s="132">
        <f t="shared" si="12"/>
        <v>329.95000000000005</v>
      </c>
      <c r="R52" s="42"/>
      <c r="S52" s="100"/>
      <c r="T52" s="186">
        <f t="shared" si="8"/>
        <v>306.01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45.45</v>
      </c>
      <c r="L53" s="110">
        <f>F53-K53</f>
        <v>-45.18</v>
      </c>
      <c r="M53" s="115">
        <f t="shared" si="17"/>
        <v>0.005940594059405941</v>
      </c>
      <c r="N53" s="111">
        <f>E53-липень!E53</f>
        <v>0</v>
      </c>
      <c r="O53" s="179">
        <f>F53-липень!F53</f>
        <v>0.010000000000000009</v>
      </c>
      <c r="P53" s="112">
        <f t="shared" si="15"/>
        <v>0.010000000000000009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E54-липень!E54</f>
        <v>0</v>
      </c>
      <c r="O54" s="179">
        <f>F54-липень!F54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3722.17</v>
      </c>
      <c r="F55" s="171">
        <v>3777.19</v>
      </c>
      <c r="G55" s="36">
        <f t="shared" si="13"/>
        <v>55.01999999999998</v>
      </c>
      <c r="H55" s="32">
        <f t="shared" si="11"/>
        <v>101.4781699922357</v>
      </c>
      <c r="I55" s="110">
        <f t="shared" si="14"/>
        <v>-2246.81</v>
      </c>
      <c r="J55" s="110">
        <f t="shared" si="16"/>
        <v>62.7023572377158</v>
      </c>
      <c r="K55" s="110">
        <v>4440.11</v>
      </c>
      <c r="L55" s="110">
        <f>F55-K55</f>
        <v>-662.9199999999996</v>
      </c>
      <c r="M55" s="115">
        <f t="shared" si="17"/>
        <v>0.8506973926321646</v>
      </c>
      <c r="N55" s="111">
        <f>E55-липень!E55</f>
        <v>500</v>
      </c>
      <c r="O55" s="179">
        <f>F55-липень!F55</f>
        <v>556.81</v>
      </c>
      <c r="P55" s="112">
        <f t="shared" si="15"/>
        <v>56.809999999999945</v>
      </c>
      <c r="Q55" s="132">
        <f t="shared" si="12"/>
        <v>111.36199999999998</v>
      </c>
      <c r="R55" s="42"/>
      <c r="S55" s="100"/>
      <c r="T55" s="186">
        <f t="shared" si="8"/>
        <v>2301.83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0</v>
      </c>
      <c r="L56" s="205">
        <f>F56-K56</f>
        <v>2.46</v>
      </c>
      <c r="M56" s="266" t="e">
        <f t="shared" si="17"/>
        <v>#DIV/0!</v>
      </c>
      <c r="N56" s="204">
        <f>E56-липень!E56</f>
        <v>0</v>
      </c>
      <c r="O56" s="208">
        <f>F56-липень!F56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f>3567.98+700</f>
        <v>4267.98</v>
      </c>
      <c r="F57" s="196">
        <v>4601.83</v>
      </c>
      <c r="G57" s="202">
        <f t="shared" si="13"/>
        <v>333.85000000000036</v>
      </c>
      <c r="H57" s="204">
        <f t="shared" si="11"/>
        <v>107.8222016035689</v>
      </c>
      <c r="I57" s="205">
        <f t="shared" si="14"/>
        <v>-548.1700000000001</v>
      </c>
      <c r="J57" s="205">
        <f t="shared" si="16"/>
        <v>89.35592233009709</v>
      </c>
      <c r="K57" s="205">
        <v>3192.65</v>
      </c>
      <c r="L57" s="205">
        <f aca="true" t="shared" si="18" ref="L57:L63">F57-K57</f>
        <v>1409.1799999999998</v>
      </c>
      <c r="M57" s="266">
        <f t="shared" si="17"/>
        <v>1.4413825505457847</v>
      </c>
      <c r="N57" s="204">
        <f>E57-липень!E57</f>
        <v>1629.9999999999995</v>
      </c>
      <c r="O57" s="208">
        <f>F57-липень!F57</f>
        <v>339.9300000000003</v>
      </c>
      <c r="P57" s="207">
        <f t="shared" si="15"/>
        <v>-1290.0699999999993</v>
      </c>
      <c r="Q57" s="205">
        <f t="shared" si="12"/>
        <v>20.85460122699389</v>
      </c>
      <c r="R57" s="42"/>
      <c r="S57" s="100"/>
      <c r="T57" s="186">
        <f t="shared" si="8"/>
        <v>882.0200000000004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E58-липень!E58</f>
        <v>0</v>
      </c>
      <c r="O58" s="208">
        <f>F58-квітень!F53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889.8</v>
      </c>
      <c r="G59" s="202"/>
      <c r="H59" s="204"/>
      <c r="I59" s="205"/>
      <c r="J59" s="205"/>
      <c r="K59" s="206">
        <v>890.52</v>
      </c>
      <c r="L59" s="205">
        <f t="shared" si="18"/>
        <v>-0.7200000000000273</v>
      </c>
      <c r="M59" s="266">
        <f t="shared" si="17"/>
        <v>0.9991914836275434</v>
      </c>
      <c r="N59" s="236"/>
      <c r="O59" s="220">
        <f>F59-липень!F59</f>
        <v>158.91999999999996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E60-квітень!E55</f>
        <v>0</v>
      </c>
      <c r="O60" s="208">
        <f>F60-квітень!F55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152.27</v>
      </c>
      <c r="G61" s="202">
        <f t="shared" si="13"/>
        <v>52.27000000000001</v>
      </c>
      <c r="H61" s="204">
        <f t="shared" si="11"/>
        <v>152.27</v>
      </c>
      <c r="I61" s="205">
        <f t="shared" si="14"/>
        <v>52.27000000000001</v>
      </c>
      <c r="J61" s="205">
        <f t="shared" si="16"/>
        <v>152.27</v>
      </c>
      <c r="K61" s="205">
        <v>0.6</v>
      </c>
      <c r="L61" s="205">
        <f t="shared" si="18"/>
        <v>151.67000000000002</v>
      </c>
      <c r="M61" s="266">
        <f t="shared" si="17"/>
        <v>253.78333333333336</v>
      </c>
      <c r="N61" s="204">
        <f>E61-липень!E61</f>
        <v>80</v>
      </c>
      <c r="O61" s="208">
        <f>F61-липень!F61</f>
        <v>74.09</v>
      </c>
      <c r="P61" s="207">
        <f t="shared" si="15"/>
        <v>-5.909999999999997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16.8</v>
      </c>
      <c r="F62" s="196">
        <v>13.52</v>
      </c>
      <c r="G62" s="202">
        <f t="shared" si="13"/>
        <v>-3.280000000000001</v>
      </c>
      <c r="H62" s="204">
        <f t="shared" si="11"/>
        <v>80.47619047619047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E62-липень!E62</f>
        <v>2.3000000000000007</v>
      </c>
      <c r="O62" s="208">
        <f>F62-липень!F62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13.2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1.03</v>
      </c>
      <c r="G63" s="202">
        <f t="shared" si="13"/>
        <v>0.8300000000000001</v>
      </c>
      <c r="H63" s="204"/>
      <c r="I63" s="205">
        <f t="shared" si="14"/>
        <v>0.22999999999999998</v>
      </c>
      <c r="J63" s="205"/>
      <c r="K63" s="205">
        <v>0.31</v>
      </c>
      <c r="L63" s="205">
        <f t="shared" si="18"/>
        <v>0.72</v>
      </c>
      <c r="M63" s="266">
        <f t="shared" si="17"/>
        <v>3.3225806451612905</v>
      </c>
      <c r="N63" s="204">
        <f>E63-липень!E63</f>
        <v>0.2</v>
      </c>
      <c r="O63" s="208">
        <f>F63-липень!F63</f>
        <v>0.010000000000000009</v>
      </c>
      <c r="P63" s="207">
        <f t="shared" si="15"/>
        <v>-0.19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990937.7300000001</v>
      </c>
      <c r="E64" s="191">
        <f>E8+E38+E62+E63</f>
        <v>672436.01</v>
      </c>
      <c r="F64" s="191">
        <f>F8+F38+F62+F63-0.02</f>
        <v>676523.63</v>
      </c>
      <c r="G64" s="191">
        <f>F64-E64</f>
        <v>4087.6199999999953</v>
      </c>
      <c r="H64" s="192">
        <f>F64/E64*100</f>
        <v>100.60788237679299</v>
      </c>
      <c r="I64" s="193">
        <f>F64-D64</f>
        <v>-314414.1000000001</v>
      </c>
      <c r="J64" s="193">
        <f>F64/D64*100</f>
        <v>68.27105372201339</v>
      </c>
      <c r="K64" s="193">
        <v>451134.19</v>
      </c>
      <c r="L64" s="193">
        <f>F64-K64</f>
        <v>225389.44</v>
      </c>
      <c r="M64" s="267">
        <f>F64/K64</f>
        <v>1.4996062036441973</v>
      </c>
      <c r="N64" s="191">
        <f>N8+N38+N62+N63</f>
        <v>148475.19999999995</v>
      </c>
      <c r="O64" s="191">
        <f>O8+O38+O62+O63-0.03</f>
        <v>95915.83999999997</v>
      </c>
      <c r="P64" s="195">
        <f>O64-N64</f>
        <v>-52559.359999999986</v>
      </c>
      <c r="Q64" s="193">
        <f>O64/N64*100</f>
        <v>64.60057976012156</v>
      </c>
      <c r="R64" s="28">
        <f>O64-34768</f>
        <v>61147.83999999997</v>
      </c>
      <c r="S64" s="128">
        <f>O64/34768</f>
        <v>2.758739070409571</v>
      </c>
      <c r="T64" s="186">
        <f t="shared" si="8"/>
        <v>318501.7200000001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F69-липень!F69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-3.83</v>
      </c>
      <c r="G70" s="202">
        <f>F70-E70</f>
        <v>-3.83</v>
      </c>
      <c r="H70" s="204"/>
      <c r="I70" s="207">
        <f>F70-D70</f>
        <v>-3.83</v>
      </c>
      <c r="J70" s="207"/>
      <c r="K70" s="207">
        <v>-49.19</v>
      </c>
      <c r="L70" s="207">
        <f>F70-K70</f>
        <v>45.36</v>
      </c>
      <c r="M70" s="254">
        <f>F70/K70</f>
        <v>0.07786135393372637</v>
      </c>
      <c r="N70" s="204"/>
      <c r="O70" s="223">
        <f>F70-липень!F70</f>
        <v>-1.5300000000000002</v>
      </c>
      <c r="P70" s="207">
        <f>O70-N70</f>
        <v>-1.5300000000000002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-3.8200000000000003</v>
      </c>
      <c r="G71" s="226">
        <f>F71-E71</f>
        <v>-3.8200000000000003</v>
      </c>
      <c r="H71" s="227"/>
      <c r="I71" s="228">
        <f>F71-D71</f>
        <v>-3.8200000000000003</v>
      </c>
      <c r="J71" s="228"/>
      <c r="K71" s="228">
        <v>-49.19</v>
      </c>
      <c r="L71" s="228">
        <f>F71-K71</f>
        <v>45.37</v>
      </c>
      <c r="M71" s="260">
        <f>F71/K71</f>
        <v>0.077658060581419</v>
      </c>
      <c r="N71" s="226">
        <f>N70</f>
        <v>0</v>
      </c>
      <c r="O71" s="229">
        <f>SUM(O69:O70)</f>
        <v>-1.5300000000000002</v>
      </c>
      <c r="P71" s="228">
        <f>O71-N71</f>
        <v>-1.5300000000000002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2200</v>
      </c>
      <c r="F73" s="222">
        <v>1535.17</v>
      </c>
      <c r="G73" s="202">
        <f aca="true" t="shared" si="19" ref="G73:G83">F73-E73</f>
        <v>-664.8299999999999</v>
      </c>
      <c r="H73" s="204"/>
      <c r="I73" s="207">
        <f aca="true" t="shared" si="20" ref="I73:I83">F73-D73</f>
        <v>-2664.83</v>
      </c>
      <c r="J73" s="207">
        <f>F73/D73*100</f>
        <v>36.55166666666666</v>
      </c>
      <c r="K73" s="207">
        <v>593.02</v>
      </c>
      <c r="L73" s="207">
        <f aca="true" t="shared" si="21" ref="L73:L83">F73-K73</f>
        <v>942.1500000000001</v>
      </c>
      <c r="M73" s="254">
        <f>F73/K73</f>
        <v>2.5887322518633438</v>
      </c>
      <c r="N73" s="204">
        <f>E73-липень!E73</f>
        <v>400</v>
      </c>
      <c r="O73" s="208">
        <f>F73-липень!F73</f>
        <v>0.11000000000012733</v>
      </c>
      <c r="P73" s="207">
        <f aca="true" t="shared" si="22" ref="P73:P86">O73-N73</f>
        <v>-399.8899999999999</v>
      </c>
      <c r="Q73" s="207">
        <f>O73/N73*100</f>
        <v>0.027500000000031832</v>
      </c>
      <c r="R73" s="43"/>
      <c r="S73" s="103"/>
      <c r="T73" s="186">
        <f t="shared" si="8"/>
        <v>2000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3877.21</v>
      </c>
      <c r="F74" s="222">
        <v>6783.53</v>
      </c>
      <c r="G74" s="202">
        <f t="shared" si="19"/>
        <v>2906.3199999999997</v>
      </c>
      <c r="H74" s="204">
        <f>F74/E74*100</f>
        <v>174.95905560957493</v>
      </c>
      <c r="I74" s="207">
        <f t="shared" si="20"/>
        <v>-675.4700000000003</v>
      </c>
      <c r="J74" s="207">
        <f>F74/D74*100</f>
        <v>90.94422844885372</v>
      </c>
      <c r="K74" s="207">
        <v>3758.64</v>
      </c>
      <c r="L74" s="207">
        <f t="shared" si="21"/>
        <v>3024.89</v>
      </c>
      <c r="M74" s="254">
        <f>F74/K74</f>
        <v>1.8047831130408871</v>
      </c>
      <c r="N74" s="204">
        <f>E74-липень!E74</f>
        <v>549.9000000000001</v>
      </c>
      <c r="O74" s="208">
        <f>F74-липень!F74</f>
        <v>32.029999999999745</v>
      </c>
      <c r="P74" s="207">
        <f t="shared" si="22"/>
        <v>-517.8700000000003</v>
      </c>
      <c r="Q74" s="207">
        <f>O74/N74*100</f>
        <v>5.824695399163437</v>
      </c>
      <c r="R74" s="43"/>
      <c r="S74" s="103"/>
      <c r="T74" s="186">
        <f aca="true" t="shared" si="23" ref="T74:T90">D74-E74</f>
        <v>3581.79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2396.85</v>
      </c>
      <c r="F75" s="222">
        <v>10477.14</v>
      </c>
      <c r="G75" s="202">
        <f t="shared" si="19"/>
        <v>8080.289999999999</v>
      </c>
      <c r="H75" s="204">
        <f>F75/E75*100</f>
        <v>437.1212216033544</v>
      </c>
      <c r="I75" s="207">
        <f t="shared" si="20"/>
        <v>4477.139999999999</v>
      </c>
      <c r="J75" s="207">
        <f>F75/D75*100</f>
        <v>174.619</v>
      </c>
      <c r="K75" s="207">
        <v>1838.64</v>
      </c>
      <c r="L75" s="207">
        <f t="shared" si="21"/>
        <v>8638.5</v>
      </c>
      <c r="M75" s="254">
        <f>F75/K75</f>
        <v>5.698309620154026</v>
      </c>
      <c r="N75" s="204">
        <f>E75-липень!E75</f>
        <v>302</v>
      </c>
      <c r="O75" s="208">
        <f>F75-липень!F75</f>
        <v>967.4499999999989</v>
      </c>
      <c r="P75" s="207">
        <f t="shared" si="22"/>
        <v>665.4499999999989</v>
      </c>
      <c r="Q75" s="207">
        <f>O75/N75*100</f>
        <v>320.34768211920493</v>
      </c>
      <c r="R75" s="43"/>
      <c r="S75" s="103"/>
      <c r="T75" s="186">
        <f t="shared" si="23"/>
        <v>3603.15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8</v>
      </c>
      <c r="F76" s="222">
        <v>6</v>
      </c>
      <c r="G76" s="202">
        <f t="shared" si="19"/>
        <v>-2</v>
      </c>
      <c r="H76" s="204">
        <f>F76/E76*100</f>
        <v>75</v>
      </c>
      <c r="I76" s="207">
        <f t="shared" si="20"/>
        <v>-6</v>
      </c>
      <c r="J76" s="207">
        <f>F76/D76*100</f>
        <v>50</v>
      </c>
      <c r="K76" s="207">
        <v>0</v>
      </c>
      <c r="L76" s="207">
        <f t="shared" si="21"/>
        <v>6</v>
      </c>
      <c r="M76" s="254"/>
      <c r="N76" s="204">
        <f>E76-липень!E76</f>
        <v>1</v>
      </c>
      <c r="O76" s="208">
        <f>F76-липень!F76</f>
        <v>0</v>
      </c>
      <c r="P76" s="207">
        <f t="shared" si="22"/>
        <v>-1</v>
      </c>
      <c r="Q76" s="207">
        <f>O76/N76*100</f>
        <v>0</v>
      </c>
      <c r="R76" s="43"/>
      <c r="S76" s="151"/>
      <c r="T76" s="186">
        <f t="shared" si="23"/>
        <v>4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8482.06</v>
      </c>
      <c r="F77" s="225">
        <f>F73+F74+F75+F76</f>
        <v>18801.84</v>
      </c>
      <c r="G77" s="226">
        <f t="shared" si="19"/>
        <v>10319.78</v>
      </c>
      <c r="H77" s="227">
        <f>F77/E77*100</f>
        <v>221.66596322119864</v>
      </c>
      <c r="I77" s="228">
        <f t="shared" si="20"/>
        <v>1130.8400000000001</v>
      </c>
      <c r="J77" s="228">
        <f>F77/D77*100</f>
        <v>106.39941146511234</v>
      </c>
      <c r="K77" s="228">
        <v>5991.37</v>
      </c>
      <c r="L77" s="228">
        <f t="shared" si="21"/>
        <v>12810.470000000001</v>
      </c>
      <c r="M77" s="260">
        <f>F77/K77</f>
        <v>3.1381537110877815</v>
      </c>
      <c r="N77" s="226">
        <f>N73+N74+N75+N76</f>
        <v>1252.9</v>
      </c>
      <c r="O77" s="230">
        <f>O73+O74+O75+O76</f>
        <v>999.5899999999988</v>
      </c>
      <c r="P77" s="228">
        <f t="shared" si="22"/>
        <v>-253.3100000000013</v>
      </c>
      <c r="Q77" s="228">
        <f>O77/N77*100</f>
        <v>79.78210551520462</v>
      </c>
      <c r="R77" s="44"/>
      <c r="S77" s="129"/>
      <c r="T77" s="186">
        <f t="shared" si="23"/>
        <v>9188.94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5.67</v>
      </c>
      <c r="G78" s="202">
        <f t="shared" si="19"/>
        <v>5.67</v>
      </c>
      <c r="H78" s="204"/>
      <c r="I78" s="207">
        <f t="shared" si="20"/>
        <v>4.67</v>
      </c>
      <c r="J78" s="207"/>
      <c r="K78" s="207">
        <v>0.18</v>
      </c>
      <c r="L78" s="207">
        <f t="shared" si="21"/>
        <v>5.49</v>
      </c>
      <c r="M78" s="254">
        <f>F78/K78</f>
        <v>31.5</v>
      </c>
      <c r="N78" s="204">
        <f>E78-липень!E78</f>
        <v>0</v>
      </c>
      <c r="O78" s="208">
        <f>F78-липень!F78</f>
        <v>0.45999999999999996</v>
      </c>
      <c r="P78" s="207">
        <f t="shared" si="22"/>
        <v>0.45999999999999996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E79-липень!E79</f>
        <v>0</v>
      </c>
      <c r="O79" s="208">
        <f>F79-липень!F79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7623.6</v>
      </c>
      <c r="F80" s="222">
        <v>6824.83</v>
      </c>
      <c r="G80" s="202">
        <f t="shared" si="19"/>
        <v>-798.7700000000004</v>
      </c>
      <c r="H80" s="204">
        <f>F80/E80*100</f>
        <v>89.52240411354215</v>
      </c>
      <c r="I80" s="207">
        <f t="shared" si="20"/>
        <v>-2675.17</v>
      </c>
      <c r="J80" s="207">
        <f>F80/D80*100</f>
        <v>71.84031578947369</v>
      </c>
      <c r="K80" s="207">
        <v>0</v>
      </c>
      <c r="L80" s="207">
        <f t="shared" si="21"/>
        <v>6824.83</v>
      </c>
      <c r="M80" s="254"/>
      <c r="N80" s="204">
        <f>E80-липень!E80</f>
        <v>2496.3</v>
      </c>
      <c r="O80" s="208">
        <f>F80-липень!F80</f>
        <v>1922.4899999999998</v>
      </c>
      <c r="P80" s="207">
        <f>O80-N80</f>
        <v>-573.8100000000004</v>
      </c>
      <c r="Q80" s="231">
        <f>O80/N80*100</f>
        <v>77.01358009854583</v>
      </c>
      <c r="R80" s="46"/>
      <c r="S80" s="105"/>
      <c r="T80" s="186">
        <f t="shared" si="23"/>
        <v>1876.3999999999996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1.09</v>
      </c>
      <c r="G81" s="202">
        <f t="shared" si="19"/>
        <v>1.09</v>
      </c>
      <c r="H81" s="204"/>
      <c r="I81" s="207">
        <f t="shared" si="20"/>
        <v>1.09</v>
      </c>
      <c r="J81" s="207"/>
      <c r="K81" s="207">
        <v>0.88</v>
      </c>
      <c r="L81" s="207">
        <f t="shared" si="21"/>
        <v>0.21000000000000008</v>
      </c>
      <c r="M81" s="254">
        <f>F81/K81</f>
        <v>1.2386363636363638</v>
      </c>
      <c r="N81" s="204">
        <f>E81-липень!E81</f>
        <v>0</v>
      </c>
      <c r="O81" s="208">
        <f>F81-липень!F81</f>
        <v>0.17000000000000004</v>
      </c>
      <c r="P81" s="207">
        <f t="shared" si="22"/>
        <v>0.17000000000000004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7623.6</v>
      </c>
      <c r="F82" s="225">
        <f>F78+F81+F79+F80</f>
        <v>6831.59</v>
      </c>
      <c r="G82" s="224">
        <f>G78+G81+G79+G80</f>
        <v>-792.0100000000004</v>
      </c>
      <c r="H82" s="227">
        <f>F82/E82*100</f>
        <v>89.61107613201112</v>
      </c>
      <c r="I82" s="228">
        <f t="shared" si="20"/>
        <v>-2669.41</v>
      </c>
      <c r="J82" s="228">
        <f>F82/D82*100</f>
        <v>71.90390485212083</v>
      </c>
      <c r="K82" s="228">
        <v>0.83</v>
      </c>
      <c r="L82" s="228">
        <f t="shared" si="21"/>
        <v>6830.76</v>
      </c>
      <c r="M82" s="268">
        <f>F82/K82</f>
        <v>8230.831325301206</v>
      </c>
      <c r="N82" s="226">
        <f>N78+N81+N79+N80</f>
        <v>2496.3</v>
      </c>
      <c r="O82" s="230">
        <f>O78+O81+O79+O80</f>
        <v>1923.12</v>
      </c>
      <c r="P82" s="226">
        <f>P78+P81+P79+P80</f>
        <v>-573.1800000000004</v>
      </c>
      <c r="Q82" s="228">
        <f>O82/N82*100</f>
        <v>77.03881744982574</v>
      </c>
      <c r="R82" s="44"/>
      <c r="S82" s="102"/>
      <c r="T82" s="186">
        <f t="shared" si="23"/>
        <v>1877.3999999999996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20.8</v>
      </c>
      <c r="F83" s="222">
        <v>19.38</v>
      </c>
      <c r="G83" s="202">
        <f t="shared" si="19"/>
        <v>-1.4200000000000017</v>
      </c>
      <c r="H83" s="204">
        <f>F83/E83*100</f>
        <v>93.17307692307692</v>
      </c>
      <c r="I83" s="207">
        <f t="shared" si="20"/>
        <v>-23.62</v>
      </c>
      <c r="J83" s="207">
        <f>F83/D83*100</f>
        <v>45.06976744186046</v>
      </c>
      <c r="K83" s="207">
        <v>21.06</v>
      </c>
      <c r="L83" s="207">
        <f t="shared" si="21"/>
        <v>-1.6799999999999997</v>
      </c>
      <c r="M83" s="254">
        <f>F83/K83</f>
        <v>0.9202279202279202</v>
      </c>
      <c r="N83" s="204">
        <f>E83-липень!E83</f>
        <v>0.5</v>
      </c>
      <c r="O83" s="208">
        <f>F83-липень!F83</f>
        <v>0.6199999999999974</v>
      </c>
      <c r="P83" s="207">
        <f t="shared" si="22"/>
        <v>0.11999999999999744</v>
      </c>
      <c r="Q83" s="207">
        <f>O83/N83</f>
        <v>1.2399999999999949</v>
      </c>
      <c r="R83" s="43"/>
      <c r="S83" s="103"/>
      <c r="T83" s="186">
        <f t="shared" si="23"/>
        <v>22.2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16126.46</v>
      </c>
      <c r="F85" s="232">
        <f>F71+F83+F77+F82+F84</f>
        <v>25648.99</v>
      </c>
      <c r="G85" s="233">
        <f>F85-E85</f>
        <v>9522.530000000002</v>
      </c>
      <c r="H85" s="234">
        <f>F85/E85*100</f>
        <v>159.04910315097055</v>
      </c>
      <c r="I85" s="235">
        <f>F85-D85</f>
        <v>-1566.0099999999984</v>
      </c>
      <c r="J85" s="235">
        <f>F85/D85*100</f>
        <v>94.24578357523426</v>
      </c>
      <c r="K85" s="235">
        <v>6163.42</v>
      </c>
      <c r="L85" s="235">
        <f>F85-K85</f>
        <v>19485.57</v>
      </c>
      <c r="M85" s="269">
        <f>F85/K85</f>
        <v>4.161486642156465</v>
      </c>
      <c r="N85" s="232">
        <f>N71+N83+N77+N82</f>
        <v>3749.7000000000003</v>
      </c>
      <c r="O85" s="232">
        <f>O71+O83+O77+O82+O84</f>
        <v>2921.799999999999</v>
      </c>
      <c r="P85" s="235">
        <f t="shared" si="22"/>
        <v>-827.9000000000015</v>
      </c>
      <c r="Q85" s="235">
        <f>O85/N85*100</f>
        <v>77.92090033869373</v>
      </c>
      <c r="R85" s="28">
        <f>O85-8104.96</f>
        <v>-5183.160000000002</v>
      </c>
      <c r="S85" s="101">
        <f>O85/8104.96</f>
        <v>0.3604953016424509</v>
      </c>
      <c r="T85" s="186">
        <f t="shared" si="23"/>
        <v>11088.54</v>
      </c>
    </row>
    <row r="86" spans="2:20" ht="17.25">
      <c r="B86" s="21" t="s">
        <v>33</v>
      </c>
      <c r="C86" s="71"/>
      <c r="D86" s="232">
        <f>D64+D85</f>
        <v>1018152.7300000001</v>
      </c>
      <c r="E86" s="232">
        <f>E64+E85</f>
        <v>688562.47</v>
      </c>
      <c r="F86" s="232">
        <f>F64+F85</f>
        <v>702172.62</v>
      </c>
      <c r="G86" s="233">
        <f>F86-E86</f>
        <v>13610.150000000023</v>
      </c>
      <c r="H86" s="234">
        <f>F86/E86*100</f>
        <v>101.97660351717978</v>
      </c>
      <c r="I86" s="235">
        <f>F86-D86</f>
        <v>-315980.1100000001</v>
      </c>
      <c r="J86" s="235">
        <f>F86/D86*100</f>
        <v>68.96535257534495</v>
      </c>
      <c r="K86" s="235">
        <f>K64+K85</f>
        <v>457297.61</v>
      </c>
      <c r="L86" s="235">
        <f>F86-K86</f>
        <v>244875.01</v>
      </c>
      <c r="M86" s="269">
        <f>F86/K86</f>
        <v>1.5354828117295432</v>
      </c>
      <c r="N86" s="233">
        <f>N64+N85</f>
        <v>152224.89999999997</v>
      </c>
      <c r="O86" s="233">
        <f>O64+O85</f>
        <v>98837.63999999997</v>
      </c>
      <c r="P86" s="235">
        <f t="shared" si="22"/>
        <v>-53387.259999999995</v>
      </c>
      <c r="Q86" s="235">
        <f>O86/N86*100</f>
        <v>64.92869432004882</v>
      </c>
      <c r="R86" s="28">
        <f>O86-42872.96</f>
        <v>55964.67999999997</v>
      </c>
      <c r="S86" s="101">
        <f>O86/42872.96</f>
        <v>2.305360768185821</v>
      </c>
      <c r="T86" s="186">
        <f t="shared" si="23"/>
        <v>329590.2600000001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 t="e">
        <f>IF(P64&lt;0,ABS(P64/C88),0)</f>
        <v>#DIV/0!</v>
      </c>
      <c r="D89" s="4" t="s">
        <v>24</v>
      </c>
      <c r="G89" s="439"/>
      <c r="H89" s="439"/>
      <c r="I89" s="439"/>
      <c r="J89" s="439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42613</v>
      </c>
      <c r="D90" s="31">
        <v>3902.6</v>
      </c>
      <c r="G90" s="4" t="s">
        <v>59</v>
      </c>
      <c r="O90" s="440"/>
      <c r="P90" s="440"/>
      <c r="T90" s="186">
        <f t="shared" si="23"/>
        <v>3902.6</v>
      </c>
    </row>
    <row r="91" spans="3:16" ht="15">
      <c r="C91" s="87">
        <v>42612</v>
      </c>
      <c r="D91" s="31">
        <v>10466.3</v>
      </c>
      <c r="F91" s="124" t="s">
        <v>59</v>
      </c>
      <c r="G91" s="441"/>
      <c r="H91" s="441"/>
      <c r="I91" s="131"/>
      <c r="J91" s="442"/>
      <c r="K91" s="442"/>
      <c r="L91" s="442"/>
      <c r="M91" s="442"/>
      <c r="N91" s="442"/>
      <c r="O91" s="440"/>
      <c r="P91" s="440"/>
    </row>
    <row r="92" spans="3:16" ht="15.75" customHeight="1">
      <c r="C92" s="87">
        <v>42611</v>
      </c>
      <c r="D92" s="31">
        <v>8603.9</v>
      </c>
      <c r="F92" s="73"/>
      <c r="G92" s="441"/>
      <c r="H92" s="441"/>
      <c r="I92" s="131"/>
      <c r="J92" s="443"/>
      <c r="K92" s="443"/>
      <c r="L92" s="443"/>
      <c r="M92" s="443"/>
      <c r="N92" s="443"/>
      <c r="O92" s="440"/>
      <c r="P92" s="440"/>
    </row>
    <row r="93" spans="3:14" ht="15.75" customHeight="1">
      <c r="C93" s="87"/>
      <c r="F93" s="73"/>
      <c r="G93" s="447"/>
      <c r="H93" s="447"/>
      <c r="I93" s="139"/>
      <c r="J93" s="442"/>
      <c r="K93" s="442"/>
      <c r="L93" s="442"/>
      <c r="M93" s="442"/>
      <c r="N93" s="442"/>
    </row>
    <row r="94" spans="2:14" ht="18" customHeight="1">
      <c r="B94" s="448" t="s">
        <v>57</v>
      </c>
      <c r="C94" s="449"/>
      <c r="D94" s="148">
        <f>'[1]залишки  (2)'!$G$6/1000</f>
        <v>7072.66653</v>
      </c>
      <c r="E94" s="74"/>
      <c r="F94" s="140" t="s">
        <v>137</v>
      </c>
      <c r="G94" s="441"/>
      <c r="H94" s="441"/>
      <c r="I94" s="141"/>
      <c r="J94" s="442"/>
      <c r="K94" s="442"/>
      <c r="L94" s="442"/>
      <c r="M94" s="442"/>
      <c r="N94" s="442"/>
    </row>
    <row r="95" spans="6:13" ht="9.75" customHeight="1">
      <c r="F95" s="73"/>
      <c r="G95" s="441"/>
      <c r="H95" s="441"/>
      <c r="I95" s="73"/>
      <c r="J95" s="74"/>
      <c r="K95" s="74"/>
      <c r="L95" s="74"/>
      <c r="M95" s="74"/>
    </row>
    <row r="96" spans="2:13" ht="22.5" customHeight="1" hidden="1">
      <c r="B96" s="444" t="s">
        <v>60</v>
      </c>
      <c r="C96" s="445"/>
      <c r="D96" s="86">
        <v>0</v>
      </c>
      <c r="E96" s="56" t="s">
        <v>24</v>
      </c>
      <c r="F96" s="73"/>
      <c r="G96" s="441"/>
      <c r="H96" s="441"/>
      <c r="I96" s="73"/>
      <c r="J96" s="74"/>
      <c r="K96" s="74"/>
      <c r="L96" s="74"/>
      <c r="M96" s="74"/>
    </row>
    <row r="97" spans="4:16" ht="15">
      <c r="D97" s="73">
        <f>D45+D48+D49</f>
        <v>1000</v>
      </c>
      <c r="E97" s="73">
        <f>E45+E48+E49</f>
        <v>934</v>
      </c>
      <c r="F97" s="247">
        <f>F45+F48+F49</f>
        <v>511.81</v>
      </c>
      <c r="G97" s="73">
        <f>G45+G48+G49</f>
        <v>-422.19</v>
      </c>
      <c r="H97" s="74"/>
      <c r="I97" s="74"/>
      <c r="N97" s="31">
        <f>N45+N48+N49</f>
        <v>212</v>
      </c>
      <c r="O97" s="246">
        <f>O45+O48+O49</f>
        <v>137.51000000000002</v>
      </c>
      <c r="P97" s="31">
        <f>P45+P48+P49</f>
        <v>-74.49</v>
      </c>
    </row>
    <row r="98" spans="4:16" ht="15">
      <c r="D98" s="83"/>
      <c r="I98" s="31"/>
      <c r="O98" s="446"/>
      <c r="P98" s="446"/>
    </row>
    <row r="99" spans="15:16" ht="15">
      <c r="O99" s="441"/>
      <c r="P99" s="441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.15748031496062992" right="0.15748031496062992" top="0" bottom="0" header="0" footer="0"/>
  <pageSetup fitToHeight="1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2" zoomScaleNormal="82" zoomScalePageLayoutView="0" workbookViewId="0" topLeftCell="B1">
      <pane xSplit="2" ySplit="8" topLeftCell="D5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61" sqref="G6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13" t="s">
        <v>188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92"/>
      <c r="S1" s="93"/>
    </row>
    <row r="2" spans="2:19" s="1" customFormat="1" ht="15.75" customHeight="1">
      <c r="B2" s="414"/>
      <c r="C2" s="414"/>
      <c r="D2" s="414"/>
      <c r="E2" s="2"/>
      <c r="F2" s="122"/>
      <c r="G2" s="2"/>
      <c r="H2" s="2"/>
      <c r="N2" s="1" t="s">
        <v>176</v>
      </c>
      <c r="Q2" s="17" t="s">
        <v>24</v>
      </c>
      <c r="R2" s="17"/>
      <c r="S2" s="94"/>
    </row>
    <row r="3" spans="1:19" s="3" customFormat="1" ht="13.5" customHeight="1">
      <c r="A3" s="415"/>
      <c r="B3" s="417"/>
      <c r="C3" s="418" t="s">
        <v>0</v>
      </c>
      <c r="D3" s="419" t="s">
        <v>121</v>
      </c>
      <c r="E3" s="34"/>
      <c r="F3" s="420" t="s">
        <v>26</v>
      </c>
      <c r="G3" s="421"/>
      <c r="H3" s="421"/>
      <c r="I3" s="421"/>
      <c r="J3" s="422"/>
      <c r="K3" s="89"/>
      <c r="L3" s="89"/>
      <c r="M3" s="89"/>
      <c r="N3" s="423" t="s">
        <v>183</v>
      </c>
      <c r="O3" s="426" t="s">
        <v>184</v>
      </c>
      <c r="P3" s="426"/>
      <c r="Q3" s="426"/>
      <c r="R3" s="426"/>
      <c r="S3" s="426"/>
    </row>
    <row r="4" spans="1:19" ht="22.5" customHeight="1">
      <c r="A4" s="415"/>
      <c r="B4" s="417"/>
      <c r="C4" s="418"/>
      <c r="D4" s="419"/>
      <c r="E4" s="427" t="s">
        <v>179</v>
      </c>
      <c r="F4" s="429" t="s">
        <v>34</v>
      </c>
      <c r="G4" s="431" t="s">
        <v>180</v>
      </c>
      <c r="H4" s="424" t="s">
        <v>181</v>
      </c>
      <c r="I4" s="431" t="s">
        <v>122</v>
      </c>
      <c r="J4" s="424" t="s">
        <v>123</v>
      </c>
      <c r="K4" s="91" t="s">
        <v>186</v>
      </c>
      <c r="L4" s="249" t="s">
        <v>185</v>
      </c>
      <c r="M4" s="96" t="s">
        <v>64</v>
      </c>
      <c r="N4" s="424"/>
      <c r="O4" s="433" t="s">
        <v>189</v>
      </c>
      <c r="P4" s="431" t="s">
        <v>50</v>
      </c>
      <c r="Q4" s="435" t="s">
        <v>49</v>
      </c>
      <c r="R4" s="97" t="s">
        <v>65</v>
      </c>
      <c r="S4" s="98" t="s">
        <v>64</v>
      </c>
    </row>
    <row r="5" spans="1:19" ht="67.5" customHeight="1">
      <c r="A5" s="416"/>
      <c r="B5" s="417"/>
      <c r="C5" s="418"/>
      <c r="D5" s="419"/>
      <c r="E5" s="428"/>
      <c r="F5" s="430"/>
      <c r="G5" s="432"/>
      <c r="H5" s="425"/>
      <c r="I5" s="432"/>
      <c r="J5" s="425"/>
      <c r="K5" s="436" t="s">
        <v>182</v>
      </c>
      <c r="L5" s="437"/>
      <c r="M5" s="438"/>
      <c r="N5" s="425"/>
      <c r="O5" s="434"/>
      <c r="P5" s="432"/>
      <c r="Q5" s="435"/>
      <c r="R5" s="436" t="s">
        <v>120</v>
      </c>
      <c r="S5" s="438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841050</v>
      </c>
      <c r="E8" s="191">
        <f>E9+E15+E18+E19+E20+E37+E17</f>
        <v>498951.28</v>
      </c>
      <c r="F8" s="191">
        <f>F9+F15+F18+F19+F20+F37+F17</f>
        <v>543806.9600000001</v>
      </c>
      <c r="G8" s="191">
        <f aca="true" t="shared" si="0" ref="G8:G37">F8-E8</f>
        <v>44855.68000000005</v>
      </c>
      <c r="H8" s="192">
        <f>F8/E8*100</f>
        <v>108.98999196875496</v>
      </c>
      <c r="I8" s="193">
        <f>F8-D8</f>
        <v>-297243.0399999999</v>
      </c>
      <c r="J8" s="193">
        <f>F8/D8*100</f>
        <v>64.65810118304502</v>
      </c>
      <c r="K8" s="191">
        <f>366772.22</f>
        <v>366772.22</v>
      </c>
      <c r="L8" s="191">
        <f aca="true" t="shared" si="1" ref="L8:L15">F8-K8</f>
        <v>177034.7400000001</v>
      </c>
      <c r="M8" s="250">
        <f aca="true" t="shared" si="2" ref="M8:M15">F8/K8</f>
        <v>1.4826830668909443</v>
      </c>
      <c r="N8" s="191">
        <f>N9+N15+N18+N19+N20+N17</f>
        <v>78715.50000000003</v>
      </c>
      <c r="O8" s="191">
        <f>O9+O15+O18+O19+O20+O17</f>
        <v>78295.53</v>
      </c>
      <c r="P8" s="191">
        <f>O8-N8</f>
        <v>-419.97000000003027</v>
      </c>
      <c r="Q8" s="191">
        <f>O8/N8*100</f>
        <v>99.46647102540157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459700</v>
      </c>
      <c r="E9" s="190">
        <f>263724.27-465</f>
        <v>263259.27</v>
      </c>
      <c r="F9" s="196">
        <v>295409.71</v>
      </c>
      <c r="G9" s="190">
        <f t="shared" si="0"/>
        <v>32150.440000000002</v>
      </c>
      <c r="H9" s="197">
        <f>F9/E9*100</f>
        <v>112.21246264186632</v>
      </c>
      <c r="I9" s="198">
        <f>F9-D9</f>
        <v>-164290.28999999998</v>
      </c>
      <c r="J9" s="198">
        <f>F9/D9*100</f>
        <v>64.26141179029803</v>
      </c>
      <c r="K9" s="199">
        <v>203434.44</v>
      </c>
      <c r="L9" s="199">
        <f t="shared" si="1"/>
        <v>91975.27000000002</v>
      </c>
      <c r="M9" s="251">
        <f t="shared" si="2"/>
        <v>1.4521125823139878</v>
      </c>
      <c r="N9" s="197">
        <f>E9-червень!E9</f>
        <v>39355.00000000003</v>
      </c>
      <c r="O9" s="200">
        <f>F9-червень!F9</f>
        <v>33967.17000000001</v>
      </c>
      <c r="P9" s="201">
        <f>O9-N9</f>
        <v>-5387.830000000016</v>
      </c>
      <c r="Q9" s="198">
        <f>O9/N9*100</f>
        <v>86.30966840299831</v>
      </c>
      <c r="R9" s="106"/>
      <c r="S9" s="107"/>
      <c r="T9" s="186">
        <f>D9-E9</f>
        <v>196440.72999999998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234015.84</v>
      </c>
      <c r="F10" s="171">
        <v>259105.9</v>
      </c>
      <c r="G10" s="109">
        <f t="shared" si="0"/>
        <v>25090.059999999998</v>
      </c>
      <c r="H10" s="32">
        <f aca="true" t="shared" si="3" ref="H10:H36">F10/E10*100</f>
        <v>110.72152209867502</v>
      </c>
      <c r="I10" s="110">
        <f aca="true" t="shared" si="4" ref="I10:I37">F10-D10</f>
        <v>-152334.1</v>
      </c>
      <c r="J10" s="110">
        <f aca="true" t="shared" si="5" ref="J10:J36">F10/D10*100</f>
        <v>62.97537915613455</v>
      </c>
      <c r="K10" s="112">
        <v>180069.97</v>
      </c>
      <c r="L10" s="112">
        <f t="shared" si="1"/>
        <v>79035.93</v>
      </c>
      <c r="M10" s="252">
        <f t="shared" si="2"/>
        <v>1.4389178828651996</v>
      </c>
      <c r="N10" s="111">
        <f>E10-червень!E10</f>
        <v>34720</v>
      </c>
      <c r="O10" s="179">
        <f>F10-червень!F10</f>
        <v>27837.48999999999</v>
      </c>
      <c r="P10" s="112">
        <f aca="true" t="shared" si="6" ref="P10:P37">O10-N10</f>
        <v>-6882.510000000009</v>
      </c>
      <c r="Q10" s="198">
        <f aca="true" t="shared" si="7" ref="Q10:Q16">O10/N10*100</f>
        <v>80.17710253456218</v>
      </c>
      <c r="R10" s="42"/>
      <c r="S10" s="100"/>
      <c r="T10" s="186">
        <f aca="true" t="shared" si="8" ref="T10:T73">D10-E10</f>
        <v>177424.16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15914.94</v>
      </c>
      <c r="F11" s="171">
        <v>21586.03</v>
      </c>
      <c r="G11" s="109">
        <f t="shared" si="0"/>
        <v>5671.089999999998</v>
      </c>
      <c r="H11" s="32">
        <f t="shared" si="3"/>
        <v>135.63375042570064</v>
      </c>
      <c r="I11" s="110">
        <f t="shared" si="4"/>
        <v>-1413.9700000000012</v>
      </c>
      <c r="J11" s="110">
        <f t="shared" si="5"/>
        <v>93.85230434782608</v>
      </c>
      <c r="K11" s="112">
        <v>10791.39</v>
      </c>
      <c r="L11" s="112">
        <f t="shared" si="1"/>
        <v>10794.64</v>
      </c>
      <c r="M11" s="252">
        <f t="shared" si="2"/>
        <v>2.0003011660221715</v>
      </c>
      <c r="N11" s="111">
        <f>E11-червень!E11</f>
        <v>1750</v>
      </c>
      <c r="O11" s="179">
        <f>F11-червень!F11</f>
        <v>3553.779999999999</v>
      </c>
      <c r="P11" s="112">
        <f t="shared" si="6"/>
        <v>1803.7799999999988</v>
      </c>
      <c r="Q11" s="198">
        <f t="shared" si="7"/>
        <v>203.07314285714278</v>
      </c>
      <c r="R11" s="42"/>
      <c r="S11" s="100"/>
      <c r="T11" s="186">
        <f t="shared" si="8"/>
        <v>7085.0599999999995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3270.61</v>
      </c>
      <c r="F12" s="171">
        <v>5837.44</v>
      </c>
      <c r="G12" s="109">
        <f t="shared" si="0"/>
        <v>2566.8299999999995</v>
      </c>
      <c r="H12" s="32">
        <f t="shared" si="3"/>
        <v>178.48168995997688</v>
      </c>
      <c r="I12" s="110">
        <f t="shared" si="4"/>
        <v>-662.5600000000004</v>
      </c>
      <c r="J12" s="110">
        <f t="shared" si="5"/>
        <v>89.80676923076922</v>
      </c>
      <c r="K12" s="112">
        <v>3052.92</v>
      </c>
      <c r="L12" s="112">
        <f t="shared" si="1"/>
        <v>2784.5199999999995</v>
      </c>
      <c r="M12" s="252">
        <f t="shared" si="2"/>
        <v>1.9120841685992425</v>
      </c>
      <c r="N12" s="111">
        <f>E12-червень!E12</f>
        <v>550</v>
      </c>
      <c r="O12" s="179">
        <f>F12-червень!F12</f>
        <v>548.7799999999997</v>
      </c>
      <c r="P12" s="112">
        <f t="shared" si="6"/>
        <v>-1.2200000000002547</v>
      </c>
      <c r="Q12" s="198">
        <f t="shared" si="7"/>
        <v>99.77818181818178</v>
      </c>
      <c r="R12" s="42"/>
      <c r="S12" s="100"/>
      <c r="T12" s="186">
        <f t="shared" si="8"/>
        <v>3229.39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6764.84</v>
      </c>
      <c r="F13" s="171">
        <v>6429.46</v>
      </c>
      <c r="G13" s="109">
        <f t="shared" si="0"/>
        <v>-335.3800000000001</v>
      </c>
      <c r="H13" s="32">
        <f t="shared" si="3"/>
        <v>95.04230698730495</v>
      </c>
      <c r="I13" s="110">
        <f t="shared" si="4"/>
        <v>-5970.54</v>
      </c>
      <c r="J13" s="110">
        <f t="shared" si="5"/>
        <v>51.85048387096774</v>
      </c>
      <c r="K13" s="112">
        <v>4060.02</v>
      </c>
      <c r="L13" s="112">
        <f t="shared" si="1"/>
        <v>2369.44</v>
      </c>
      <c r="M13" s="252">
        <f t="shared" si="2"/>
        <v>1.583603036438244</v>
      </c>
      <c r="N13" s="111">
        <f>E13-червень!E13</f>
        <v>2180</v>
      </c>
      <c r="O13" s="179">
        <f>F13-червень!F13</f>
        <v>1976.8500000000004</v>
      </c>
      <c r="P13" s="112">
        <f t="shared" si="6"/>
        <v>-203.14999999999964</v>
      </c>
      <c r="Q13" s="198">
        <f t="shared" si="7"/>
        <v>90.68119266055048</v>
      </c>
      <c r="R13" s="42"/>
      <c r="S13" s="100"/>
      <c r="T13" s="186">
        <f t="shared" si="8"/>
        <v>5635.16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f>3758.04-465</f>
        <v>3293.04</v>
      </c>
      <c r="F14" s="171">
        <v>2450.88</v>
      </c>
      <c r="G14" s="109">
        <f t="shared" si="0"/>
        <v>-842.1599999999999</v>
      </c>
      <c r="H14" s="32">
        <f t="shared" si="3"/>
        <v>74.42606224036149</v>
      </c>
      <c r="I14" s="110">
        <f t="shared" si="4"/>
        <v>-3909.12</v>
      </c>
      <c r="J14" s="110">
        <f t="shared" si="5"/>
        <v>38.53584905660378</v>
      </c>
      <c r="K14" s="112">
        <v>5460.12</v>
      </c>
      <c r="L14" s="112">
        <f t="shared" si="1"/>
        <v>-3009.24</v>
      </c>
      <c r="M14" s="252">
        <f t="shared" si="2"/>
        <v>0.44886925562075564</v>
      </c>
      <c r="N14" s="111">
        <f>E14-червень!E14</f>
        <v>155</v>
      </c>
      <c r="O14" s="179">
        <f>F14-червень!F14</f>
        <v>50.26999999999998</v>
      </c>
      <c r="P14" s="112">
        <f t="shared" si="6"/>
        <v>-104.73000000000002</v>
      </c>
      <c r="Q14" s="198">
        <f t="shared" si="7"/>
        <v>32.43225806451612</v>
      </c>
      <c r="R14" s="42"/>
      <c r="S14" s="100"/>
      <c r="T14" s="186">
        <f t="shared" si="8"/>
        <v>3066.96</v>
      </c>
      <c r="U14" s="273">
        <v>2880</v>
      </c>
      <c r="V14" s="186">
        <f>U14-T14</f>
        <v>-186.96000000000004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250</v>
      </c>
      <c r="F15" s="196">
        <v>309.24</v>
      </c>
      <c r="G15" s="190">
        <f t="shared" si="0"/>
        <v>59.24000000000001</v>
      </c>
      <c r="H15" s="197">
        <f>F15/E15*100</f>
        <v>123.69600000000001</v>
      </c>
      <c r="I15" s="198">
        <f t="shared" si="4"/>
        <v>-190.76</v>
      </c>
      <c r="J15" s="198">
        <f t="shared" si="5"/>
        <v>61.848000000000006</v>
      </c>
      <c r="K15" s="201">
        <v>-788.76</v>
      </c>
      <c r="L15" s="201">
        <f t="shared" si="1"/>
        <v>1098</v>
      </c>
      <c r="M15" s="253">
        <f t="shared" si="2"/>
        <v>-0.39205842081241443</v>
      </c>
      <c r="N15" s="197">
        <f>E15-червень!E15</f>
        <v>10</v>
      </c>
      <c r="O15" s="200">
        <f>F15-червень!F15</f>
        <v>0</v>
      </c>
      <c r="P15" s="201">
        <f t="shared" si="6"/>
        <v>-10</v>
      </c>
      <c r="Q15" s="198">
        <f t="shared" si="7"/>
        <v>0</v>
      </c>
      <c r="R15" s="42"/>
      <c r="S15" s="100"/>
      <c r="T15" s="186">
        <f t="shared" si="8"/>
        <v>250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f>F16-(-381.9)</f>
        <v>381.9</v>
      </c>
      <c r="L16" s="201">
        <f aca="true" t="shared" si="9" ref="L16:L22">F16-K16</f>
        <v>-381.9</v>
      </c>
      <c r="M16" s="253">
        <f aca="true" t="shared" si="10" ref="M16:M22">F16/K16</f>
        <v>0</v>
      </c>
      <c r="N16" s="197">
        <f>E16-червень!E16</f>
        <v>0</v>
      </c>
      <c r="O16" s="200">
        <f>F16-червень!F16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9"/>
        <v>0.08000000000000002</v>
      </c>
      <c r="M17" s="253">
        <f t="shared" si="10"/>
        <v>1.888888888888889</v>
      </c>
      <c r="N17" s="197">
        <f>E17-червень!E17</f>
        <v>0</v>
      </c>
      <c r="O17" s="200">
        <f>F17-червень!F17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3"/>
        <v>1058</v>
      </c>
      <c r="I18" s="198">
        <f t="shared" si="4"/>
        <v>95.8</v>
      </c>
      <c r="J18" s="198">
        <f t="shared" si="5"/>
        <v>1058</v>
      </c>
      <c r="K18" s="201">
        <v>15.8</v>
      </c>
      <c r="L18" s="201">
        <f t="shared" si="9"/>
        <v>90</v>
      </c>
      <c r="M18" s="253">
        <f t="shared" si="10"/>
        <v>6.696202531645569</v>
      </c>
      <c r="N18" s="197">
        <f>E18-червень!E18</f>
        <v>0</v>
      </c>
      <c r="O18" s="200">
        <f>F18-червень!F18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58760.4</v>
      </c>
      <c r="F19" s="196">
        <v>54291.2</v>
      </c>
      <c r="G19" s="190">
        <f t="shared" si="0"/>
        <v>-4469.200000000004</v>
      </c>
      <c r="H19" s="197">
        <f t="shared" si="3"/>
        <v>92.39419745270624</v>
      </c>
      <c r="I19" s="198">
        <f t="shared" si="4"/>
        <v>-55608.8</v>
      </c>
      <c r="J19" s="198">
        <f t="shared" si="5"/>
        <v>49.40054595086442</v>
      </c>
      <c r="K19" s="209">
        <v>37124.61</v>
      </c>
      <c r="L19" s="201">
        <f t="shared" si="9"/>
        <v>17166.589999999997</v>
      </c>
      <c r="M19" s="259">
        <f t="shared" si="10"/>
        <v>1.4624045882232837</v>
      </c>
      <c r="N19" s="197">
        <f>E19-червень!E19</f>
        <v>10900</v>
      </c>
      <c r="O19" s="200">
        <f>F19-червень!F19</f>
        <v>9779.18</v>
      </c>
      <c r="P19" s="201">
        <f t="shared" si="6"/>
        <v>-1120.8199999999997</v>
      </c>
      <c r="Q19" s="198">
        <f aca="true" t="shared" si="11" ref="Q19:Q24">O19/N19*100</f>
        <v>89.71724770642201</v>
      </c>
      <c r="R19" s="113"/>
      <c r="S19" s="114"/>
      <c r="T19" s="186">
        <f t="shared" si="8"/>
        <v>51139.6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270940</v>
      </c>
      <c r="E20" s="190">
        <f>E21+E30+E32+E29</f>
        <v>176671.61</v>
      </c>
      <c r="F20" s="272">
        <f>F21+F29+F30+F31+F32</f>
        <v>193690.84</v>
      </c>
      <c r="G20" s="190">
        <f t="shared" si="0"/>
        <v>17019.23000000001</v>
      </c>
      <c r="H20" s="197">
        <f t="shared" si="3"/>
        <v>109.63325686566168</v>
      </c>
      <c r="I20" s="198">
        <f t="shared" si="4"/>
        <v>-77249.16</v>
      </c>
      <c r="J20" s="198">
        <f t="shared" si="5"/>
        <v>71.4884623901971</v>
      </c>
      <c r="K20" s="198">
        <v>122956.99</v>
      </c>
      <c r="L20" s="201">
        <f t="shared" si="9"/>
        <v>70733.84999999999</v>
      </c>
      <c r="M20" s="254">
        <f t="shared" si="10"/>
        <v>1.5752731097272306</v>
      </c>
      <c r="N20" s="197">
        <f>N21+N30+N31+N32</f>
        <v>28450.5</v>
      </c>
      <c r="O20" s="200">
        <f>F20-червень!F20</f>
        <v>34549.17999999999</v>
      </c>
      <c r="P20" s="201">
        <f t="shared" si="6"/>
        <v>6098.679999999993</v>
      </c>
      <c r="Q20" s="198">
        <f t="shared" si="11"/>
        <v>121.43610832850035</v>
      </c>
      <c r="R20" s="113"/>
      <c r="S20" s="114"/>
      <c r="T20" s="186">
        <f t="shared" si="8"/>
        <v>94268.39000000001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96488.66</v>
      </c>
      <c r="F21" s="211">
        <f>F22+F25+F26</f>
        <v>105956.73</v>
      </c>
      <c r="G21" s="190">
        <f t="shared" si="0"/>
        <v>9468.069999999992</v>
      </c>
      <c r="H21" s="197">
        <f t="shared" si="3"/>
        <v>109.81262461308926</v>
      </c>
      <c r="I21" s="198">
        <f t="shared" si="4"/>
        <v>-55443.270000000004</v>
      </c>
      <c r="J21" s="198">
        <f t="shared" si="5"/>
        <v>65.648531598513</v>
      </c>
      <c r="K21" s="198">
        <v>67867.18</v>
      </c>
      <c r="L21" s="201">
        <f t="shared" si="9"/>
        <v>38089.55</v>
      </c>
      <c r="M21" s="254">
        <f t="shared" si="10"/>
        <v>1.5612366684456318</v>
      </c>
      <c r="N21" s="197">
        <f>N22+N25+N26</f>
        <v>18345.3</v>
      </c>
      <c r="O21" s="200">
        <f>F21-червень!F21</f>
        <v>19962.339999999997</v>
      </c>
      <c r="P21" s="201">
        <f t="shared" si="6"/>
        <v>1617.0399999999972</v>
      </c>
      <c r="Q21" s="198">
        <f t="shared" si="11"/>
        <v>108.81446474028769</v>
      </c>
      <c r="R21" s="113"/>
      <c r="S21" s="114"/>
      <c r="T21" s="186">
        <f t="shared" si="8"/>
        <v>64911.34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12591.6</v>
      </c>
      <c r="F22" s="213">
        <v>13870.14</v>
      </c>
      <c r="G22" s="212">
        <f t="shared" si="0"/>
        <v>1278.539999999999</v>
      </c>
      <c r="H22" s="214">
        <f t="shared" si="3"/>
        <v>110.15391213189744</v>
      </c>
      <c r="I22" s="215">
        <f t="shared" si="4"/>
        <v>-4629.860000000001</v>
      </c>
      <c r="J22" s="215">
        <f t="shared" si="5"/>
        <v>74.97372972972973</v>
      </c>
      <c r="K22" s="216">
        <v>8455.99</v>
      </c>
      <c r="L22" s="206">
        <f t="shared" si="9"/>
        <v>5414.15</v>
      </c>
      <c r="M22" s="262">
        <f t="shared" si="10"/>
        <v>1.6402739359909366</v>
      </c>
      <c r="N22" s="214">
        <f>E22-червень!E22</f>
        <v>3980</v>
      </c>
      <c r="O22" s="217">
        <f>F22-червень!F22</f>
        <v>4636.549999999999</v>
      </c>
      <c r="P22" s="218">
        <f t="shared" si="6"/>
        <v>656.5499999999993</v>
      </c>
      <c r="Q22" s="215">
        <f t="shared" si="11"/>
        <v>116.49623115577887</v>
      </c>
      <c r="R22" s="113"/>
      <c r="S22" s="114"/>
      <c r="T22" s="186">
        <f t="shared" si="8"/>
        <v>5908.4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689.1</v>
      </c>
      <c r="F23" s="203">
        <v>537.83</v>
      </c>
      <c r="G23" s="241">
        <f t="shared" si="0"/>
        <v>-151.26999999999998</v>
      </c>
      <c r="H23" s="242">
        <f t="shared" si="3"/>
        <v>78.04817878392106</v>
      </c>
      <c r="I23" s="243">
        <f t="shared" si="4"/>
        <v>-1462.17</v>
      </c>
      <c r="J23" s="243">
        <f t="shared" si="5"/>
        <v>26.8915</v>
      </c>
      <c r="K23" s="261">
        <v>461.3</v>
      </c>
      <c r="L23" s="261">
        <f aca="true" t="shared" si="12" ref="L23:L39">F23-K23</f>
        <v>76.53000000000003</v>
      </c>
      <c r="M23" s="263">
        <f aca="true" t="shared" si="13" ref="M23:M28">F23/K23</f>
        <v>1.1659007153696077</v>
      </c>
      <c r="N23" s="239">
        <f>E23-червень!E23</f>
        <v>300</v>
      </c>
      <c r="O23" s="239">
        <f>F23-червень!F23</f>
        <v>195.73000000000002</v>
      </c>
      <c r="P23" s="240">
        <f t="shared" si="6"/>
        <v>-104.26999999999998</v>
      </c>
      <c r="Q23" s="240">
        <f t="shared" si="11"/>
        <v>65.24333333333334</v>
      </c>
      <c r="R23" s="113"/>
      <c r="S23" s="114"/>
      <c r="T23" s="186">
        <f t="shared" si="8"/>
        <v>1310.9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11902.5</v>
      </c>
      <c r="F24" s="203">
        <v>13332.31</v>
      </c>
      <c r="G24" s="241">
        <f t="shared" si="0"/>
        <v>1429.8099999999995</v>
      </c>
      <c r="H24" s="242">
        <f t="shared" si="3"/>
        <v>112.01268641041797</v>
      </c>
      <c r="I24" s="243">
        <f t="shared" si="4"/>
        <v>-3167.6900000000005</v>
      </c>
      <c r="J24" s="243">
        <f t="shared" si="5"/>
        <v>80.80187878787879</v>
      </c>
      <c r="K24" s="261">
        <v>7994.69</v>
      </c>
      <c r="L24" s="261">
        <f t="shared" si="12"/>
        <v>5337.62</v>
      </c>
      <c r="M24" s="263">
        <f t="shared" si="13"/>
        <v>1.6676456498000547</v>
      </c>
      <c r="N24" s="239">
        <f>E24-червень!E24</f>
        <v>3680</v>
      </c>
      <c r="O24" s="239">
        <f>F24-червень!F24</f>
        <v>4440.82</v>
      </c>
      <c r="P24" s="240">
        <f t="shared" si="6"/>
        <v>760.8199999999997</v>
      </c>
      <c r="Q24" s="240">
        <f t="shared" si="11"/>
        <v>120.67445652173912</v>
      </c>
      <c r="R24" s="113"/>
      <c r="S24" s="114"/>
      <c r="T24" s="186">
        <f t="shared" si="8"/>
        <v>4597.5</v>
      </c>
      <c r="U24" s="186"/>
    </row>
    <row r="25" spans="1:20" s="6" customFormat="1" ht="18">
      <c r="A25" s="8"/>
      <c r="B25" s="55" t="s">
        <v>78</v>
      </c>
      <c r="C25" s="138"/>
      <c r="D25" s="212">
        <v>2800</v>
      </c>
      <c r="E25" s="212">
        <v>693.14</v>
      </c>
      <c r="F25" s="213">
        <v>478.8</v>
      </c>
      <c r="G25" s="212">
        <f t="shared" si="0"/>
        <v>-214.33999999999997</v>
      </c>
      <c r="H25" s="214">
        <f t="shared" si="3"/>
        <v>69.07695415067664</v>
      </c>
      <c r="I25" s="215">
        <f t="shared" si="4"/>
        <v>-2321.2</v>
      </c>
      <c r="J25" s="215">
        <f t="shared" si="5"/>
        <v>17.1</v>
      </c>
      <c r="K25" s="215">
        <v>773.2</v>
      </c>
      <c r="L25" s="215">
        <f t="shared" si="12"/>
        <v>-294.40000000000003</v>
      </c>
      <c r="M25" s="257">
        <f t="shared" si="13"/>
        <v>0.619244697361614</v>
      </c>
      <c r="N25" s="214">
        <f>E25-червень!E25</f>
        <v>416.3</v>
      </c>
      <c r="O25" s="217">
        <f>F25-червень!F25</f>
        <v>43.75</v>
      </c>
      <c r="P25" s="218">
        <f t="shared" si="6"/>
        <v>-372.55</v>
      </c>
      <c r="Q25" s="215"/>
      <c r="R25" s="113"/>
      <c r="S25" s="114"/>
      <c r="T25" s="186">
        <f t="shared" si="8"/>
        <v>2106.86</v>
      </c>
    </row>
    <row r="26" spans="1:20" s="6" customFormat="1" ht="18">
      <c r="A26" s="8"/>
      <c r="B26" s="55" t="s">
        <v>79</v>
      </c>
      <c r="C26" s="138"/>
      <c r="D26" s="212">
        <v>140100</v>
      </c>
      <c r="E26" s="212">
        <f>83323.92-120</f>
        <v>83203.92</v>
      </c>
      <c r="F26" s="213">
        <v>91607.79</v>
      </c>
      <c r="G26" s="212">
        <f t="shared" si="0"/>
        <v>8403.869999999995</v>
      </c>
      <c r="H26" s="214">
        <f t="shared" si="3"/>
        <v>110.10032940755676</v>
      </c>
      <c r="I26" s="215">
        <f t="shared" si="4"/>
        <v>-48492.21000000001</v>
      </c>
      <c r="J26" s="215">
        <f t="shared" si="5"/>
        <v>65.38743040685225</v>
      </c>
      <c r="K26" s="216">
        <v>58637.99</v>
      </c>
      <c r="L26" s="216">
        <f t="shared" si="12"/>
        <v>32969.799999999996</v>
      </c>
      <c r="M26" s="256">
        <f t="shared" si="13"/>
        <v>1.5622600638255164</v>
      </c>
      <c r="N26" s="214">
        <f>E26-червень!E26</f>
        <v>13949</v>
      </c>
      <c r="O26" s="217">
        <f>F26-червень!F26</f>
        <v>15282.039999999994</v>
      </c>
      <c r="P26" s="218">
        <f t="shared" si="6"/>
        <v>1333.0399999999936</v>
      </c>
      <c r="Q26" s="215">
        <f>O26/N26*100</f>
        <v>109.55652734963076</v>
      </c>
      <c r="R26" s="113"/>
      <c r="S26" s="114"/>
      <c r="T26" s="186">
        <f t="shared" si="8"/>
        <v>56896.08</v>
      </c>
    </row>
    <row r="27" spans="1:20" s="6" customFormat="1" ht="18" hidden="1">
      <c r="A27" s="8"/>
      <c r="B27" s="237" t="s">
        <v>166</v>
      </c>
      <c r="C27" s="238"/>
      <c r="D27" s="241">
        <v>38057</v>
      </c>
      <c r="E27" s="241">
        <f>23964.75-120</f>
        <v>23844.75</v>
      </c>
      <c r="F27" s="203">
        <v>29285.76</v>
      </c>
      <c r="G27" s="241">
        <f t="shared" si="0"/>
        <v>5441.009999999998</v>
      </c>
      <c r="H27" s="242">
        <f t="shared" si="3"/>
        <v>122.81848205579844</v>
      </c>
      <c r="I27" s="243">
        <f t="shared" si="4"/>
        <v>-8771.240000000002</v>
      </c>
      <c r="J27" s="243">
        <f t="shared" si="5"/>
        <v>76.95236093228579</v>
      </c>
      <c r="K27" s="261">
        <v>15594.88</v>
      </c>
      <c r="L27" s="261">
        <f t="shared" si="12"/>
        <v>13690.88</v>
      </c>
      <c r="M27" s="263">
        <f t="shared" si="13"/>
        <v>1.8779086469405344</v>
      </c>
      <c r="N27" s="239">
        <f>E27-червень!E27</f>
        <v>4415</v>
      </c>
      <c r="O27" s="239">
        <f>F27-червень!F27</f>
        <v>5548.91</v>
      </c>
      <c r="P27" s="240">
        <f t="shared" si="6"/>
        <v>1133.9099999999999</v>
      </c>
      <c r="Q27" s="240">
        <f>O27/N27*100</f>
        <v>125.68312570781426</v>
      </c>
      <c r="R27" s="113"/>
      <c r="S27" s="114"/>
      <c r="T27" s="186">
        <f t="shared" si="8"/>
        <v>14212.25</v>
      </c>
    </row>
    <row r="28" spans="1:20" s="6" customFormat="1" ht="18" hidden="1">
      <c r="A28" s="8"/>
      <c r="B28" s="237" t="s">
        <v>167</v>
      </c>
      <c r="C28" s="238"/>
      <c r="D28" s="241">
        <v>102043</v>
      </c>
      <c r="E28" s="241">
        <v>59359.17</v>
      </c>
      <c r="F28" s="203">
        <v>62322.03</v>
      </c>
      <c r="G28" s="241">
        <f t="shared" si="0"/>
        <v>2962.8600000000006</v>
      </c>
      <c r="H28" s="242">
        <f t="shared" si="3"/>
        <v>104.99141076265049</v>
      </c>
      <c r="I28" s="243">
        <f t="shared" si="4"/>
        <v>-39720.97</v>
      </c>
      <c r="J28" s="243">
        <f t="shared" si="5"/>
        <v>61.07428241035642</v>
      </c>
      <c r="K28" s="261">
        <v>43043.11</v>
      </c>
      <c r="L28" s="261">
        <f t="shared" si="12"/>
        <v>19278.92</v>
      </c>
      <c r="M28" s="263">
        <f t="shared" si="13"/>
        <v>1.4478979330257502</v>
      </c>
      <c r="N28" s="239">
        <f>E28-червень!E28</f>
        <v>9534</v>
      </c>
      <c r="O28" s="239">
        <f>F28-червень!F28</f>
        <v>9733.14</v>
      </c>
      <c r="P28" s="240">
        <f t="shared" si="6"/>
        <v>199.13999999999942</v>
      </c>
      <c r="Q28" s="240">
        <f>O28/N28*100</f>
        <v>102.08873505349277</v>
      </c>
      <c r="R28" s="113"/>
      <c r="S28" s="114"/>
      <c r="T28" s="186">
        <f t="shared" si="8"/>
        <v>42683.83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2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40.91</v>
      </c>
      <c r="F30" s="196">
        <v>65.62</v>
      </c>
      <c r="G30" s="190">
        <f t="shared" si="0"/>
        <v>24.710000000000008</v>
      </c>
      <c r="H30" s="197">
        <f t="shared" si="3"/>
        <v>160.4008799804449</v>
      </c>
      <c r="I30" s="198">
        <f t="shared" si="4"/>
        <v>-11.379999999999995</v>
      </c>
      <c r="J30" s="198">
        <f t="shared" si="5"/>
        <v>85.22077922077924</v>
      </c>
      <c r="K30" s="198">
        <v>41.66</v>
      </c>
      <c r="L30" s="198">
        <f t="shared" si="12"/>
        <v>23.960000000000008</v>
      </c>
      <c r="M30" s="255">
        <f>F30/K30</f>
        <v>1.57513202112338</v>
      </c>
      <c r="N30" s="197">
        <f>E30-червень!E29</f>
        <v>5.199999999999996</v>
      </c>
      <c r="O30" s="200">
        <f>F30-червень!F29</f>
        <v>10.000000000000007</v>
      </c>
      <c r="P30" s="201">
        <f t="shared" si="6"/>
        <v>4.800000000000011</v>
      </c>
      <c r="Q30" s="198">
        <f>O30/N30*100</f>
        <v>192.3076923076926</v>
      </c>
      <c r="R30" s="113"/>
      <c r="S30" s="114"/>
      <c r="T30" s="186">
        <f t="shared" si="8"/>
        <v>36.09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-138.73</v>
      </c>
      <c r="G31" s="190">
        <f t="shared" si="0"/>
        <v>-138.73</v>
      </c>
      <c r="H31" s="197"/>
      <c r="I31" s="198">
        <f t="shared" si="4"/>
        <v>-138.73</v>
      </c>
      <c r="J31" s="198"/>
      <c r="K31" s="198">
        <v>-530.36</v>
      </c>
      <c r="L31" s="198">
        <f t="shared" si="12"/>
        <v>391.63</v>
      </c>
      <c r="M31" s="255">
        <f>F31/K31</f>
        <v>0.2615770420092013</v>
      </c>
      <c r="N31" s="197">
        <f>E31-червень!E30</f>
        <v>0</v>
      </c>
      <c r="O31" s="200">
        <f>F31-червень!F30</f>
        <v>-13.689999999999984</v>
      </c>
      <c r="P31" s="201">
        <f t="shared" si="6"/>
        <v>-13.689999999999984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109463</v>
      </c>
      <c r="E32" s="202">
        <f>80142.04</f>
        <v>80142.04</v>
      </c>
      <c r="F32" s="203">
        <v>87807.07</v>
      </c>
      <c r="G32" s="202">
        <f t="shared" si="0"/>
        <v>7665.030000000013</v>
      </c>
      <c r="H32" s="204">
        <f t="shared" si="3"/>
        <v>109.56430607456463</v>
      </c>
      <c r="I32" s="205">
        <f t="shared" si="4"/>
        <v>-21655.929999999993</v>
      </c>
      <c r="J32" s="205">
        <f t="shared" si="5"/>
        <v>80.21621004357638</v>
      </c>
      <c r="K32" s="219">
        <v>55578.51</v>
      </c>
      <c r="L32" s="219">
        <f t="shared" si="12"/>
        <v>32228.560000000005</v>
      </c>
      <c r="M32" s="258">
        <f>F32/L32</f>
        <v>2.7245111168479137</v>
      </c>
      <c r="N32" s="197">
        <f>E32-червень!E31</f>
        <v>10100</v>
      </c>
      <c r="O32" s="200">
        <f>F32-червень!F31</f>
        <v>14590.380000000005</v>
      </c>
      <c r="P32" s="207">
        <f t="shared" si="6"/>
        <v>4490.380000000005</v>
      </c>
      <c r="Q32" s="205">
        <f>O32/N32*100</f>
        <v>144.45920792079212</v>
      </c>
      <c r="R32" s="113"/>
      <c r="S32" s="114"/>
      <c r="T32" s="186">
        <f t="shared" si="8"/>
        <v>29320.960000000006</v>
      </c>
    </row>
    <row r="33" spans="1:20" s="6" customFormat="1" ht="15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0.22</v>
      </c>
      <c r="G33" s="109">
        <f t="shared" si="0"/>
        <v>0.22</v>
      </c>
      <c r="H33" s="111"/>
      <c r="I33" s="110">
        <f t="shared" si="4"/>
        <v>0.22</v>
      </c>
      <c r="J33" s="110"/>
      <c r="K33" s="142">
        <v>-1.2</v>
      </c>
      <c r="L33" s="142">
        <f t="shared" si="12"/>
        <v>1.42</v>
      </c>
      <c r="M33" s="264">
        <f aca="true" t="shared" si="14" ref="M33:M39">F33/K33</f>
        <v>-0.18333333333333335</v>
      </c>
      <c r="N33" s="111">
        <f>E33-червень!E32</f>
        <v>0</v>
      </c>
      <c r="O33" s="179">
        <f>F33-червень!F32</f>
        <v>0.04000000000000001</v>
      </c>
      <c r="P33" s="112">
        <f t="shared" si="6"/>
        <v>0.04000000000000001</v>
      </c>
      <c r="Q33" s="110"/>
      <c r="R33" s="113"/>
      <c r="S33" s="114"/>
      <c r="T33" s="186">
        <f t="shared" si="8"/>
        <v>0</v>
      </c>
    </row>
    <row r="34" spans="1:20" s="6" customFormat="1" ht="15">
      <c r="A34" s="8"/>
      <c r="B34" s="55" t="s">
        <v>95</v>
      </c>
      <c r="C34" s="108">
        <v>18050300</v>
      </c>
      <c r="D34" s="109">
        <v>27600</v>
      </c>
      <c r="E34" s="109">
        <v>19695.97</v>
      </c>
      <c r="F34" s="171">
        <v>21754.51</v>
      </c>
      <c r="G34" s="109">
        <f t="shared" si="0"/>
        <v>2058.5399999999972</v>
      </c>
      <c r="H34" s="111">
        <f t="shared" si="3"/>
        <v>110.4515796886368</v>
      </c>
      <c r="I34" s="110">
        <f t="shared" si="4"/>
        <v>-5845.490000000002</v>
      </c>
      <c r="J34" s="110">
        <f t="shared" si="5"/>
        <v>78.82068840579709</v>
      </c>
      <c r="K34" s="142">
        <v>13078.86</v>
      </c>
      <c r="L34" s="142">
        <f t="shared" si="12"/>
        <v>8675.649999999998</v>
      </c>
      <c r="M34" s="264">
        <f t="shared" si="14"/>
        <v>1.6633338073807653</v>
      </c>
      <c r="N34" s="111">
        <f>E34-червень!E33</f>
        <v>2000</v>
      </c>
      <c r="O34" s="179">
        <f>F34-червень!F33</f>
        <v>3441.449999999997</v>
      </c>
      <c r="P34" s="112">
        <f t="shared" si="6"/>
        <v>1441.449999999997</v>
      </c>
      <c r="Q34" s="110">
        <f>O34/N34*100</f>
        <v>172.07249999999985</v>
      </c>
      <c r="R34" s="113"/>
      <c r="S34" s="114"/>
      <c r="T34" s="186">
        <f t="shared" si="8"/>
        <v>7904.029999999999</v>
      </c>
    </row>
    <row r="35" spans="1:20" s="6" customFormat="1" ht="15">
      <c r="A35" s="8"/>
      <c r="B35" s="55" t="s">
        <v>96</v>
      </c>
      <c r="C35" s="108">
        <v>18050400</v>
      </c>
      <c r="D35" s="109">
        <v>81812</v>
      </c>
      <c r="E35" s="109">
        <v>60436.08</v>
      </c>
      <c r="F35" s="171">
        <v>66031.82</v>
      </c>
      <c r="G35" s="109">
        <f t="shared" si="0"/>
        <v>5595.740000000005</v>
      </c>
      <c r="H35" s="111">
        <f t="shared" si="3"/>
        <v>109.25893936204996</v>
      </c>
      <c r="I35" s="110">
        <f t="shared" si="4"/>
        <v>-15780.179999999993</v>
      </c>
      <c r="J35" s="110">
        <f t="shared" si="5"/>
        <v>80.71165599178606</v>
      </c>
      <c r="K35" s="142">
        <v>42491.04</v>
      </c>
      <c r="L35" s="142">
        <f t="shared" si="12"/>
        <v>23540.780000000006</v>
      </c>
      <c r="M35" s="264">
        <f t="shared" si="14"/>
        <v>1.5540175058082835</v>
      </c>
      <c r="N35" s="111">
        <f>E35-червень!E34</f>
        <v>8100</v>
      </c>
      <c r="O35" s="179">
        <f>F35-червень!F34</f>
        <v>11142.37000000001</v>
      </c>
      <c r="P35" s="112">
        <f t="shared" si="6"/>
        <v>3042.37000000001</v>
      </c>
      <c r="Q35" s="110">
        <f>O35/N35*100</f>
        <v>137.56012345679025</v>
      </c>
      <c r="R35" s="113"/>
      <c r="S35" s="114"/>
      <c r="T35" s="186">
        <f t="shared" si="8"/>
        <v>21375.92</v>
      </c>
    </row>
    <row r="36" spans="1:20" s="6" customFormat="1" ht="15">
      <c r="A36" s="8"/>
      <c r="B36" s="55" t="s">
        <v>97</v>
      </c>
      <c r="C36" s="108">
        <v>18050500</v>
      </c>
      <c r="D36" s="109">
        <v>51</v>
      </c>
      <c r="E36" s="109">
        <v>9.99</v>
      </c>
      <c r="F36" s="171">
        <v>20.52</v>
      </c>
      <c r="G36" s="109">
        <f t="shared" si="0"/>
        <v>10.53</v>
      </c>
      <c r="H36" s="111">
        <f t="shared" si="3"/>
        <v>205.4054054054054</v>
      </c>
      <c r="I36" s="110">
        <f t="shared" si="4"/>
        <v>-30.48</v>
      </c>
      <c r="J36" s="110">
        <f t="shared" si="5"/>
        <v>40.23529411764706</v>
      </c>
      <c r="K36" s="142">
        <v>9.8</v>
      </c>
      <c r="L36" s="142">
        <f t="shared" si="12"/>
        <v>10.719999999999999</v>
      </c>
      <c r="M36" s="264">
        <f t="shared" si="14"/>
        <v>2.093877551020408</v>
      </c>
      <c r="N36" s="111">
        <f>E36-травень!E35</f>
        <v>0</v>
      </c>
      <c r="O36" s="179">
        <f>F36-червень!F35</f>
        <v>6.51</v>
      </c>
      <c r="P36" s="112">
        <f t="shared" si="6"/>
        <v>6.51</v>
      </c>
      <c r="Q36" s="110"/>
      <c r="R36" s="113"/>
      <c r="S36" s="114"/>
      <c r="T36" s="186">
        <f t="shared" si="8"/>
        <v>41.01</v>
      </c>
    </row>
    <row r="37" spans="1:20" s="6" customFormat="1" ht="15" customHeight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4029.06</v>
      </c>
      <c r="L37" s="132">
        <f t="shared" si="12"/>
        <v>-4029.06</v>
      </c>
      <c r="M37" s="265">
        <f t="shared" si="14"/>
        <v>0</v>
      </c>
      <c r="N37" s="32">
        <v>0</v>
      </c>
      <c r="O37" s="179">
        <f>F37-червень!F36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</f>
        <v>42820</v>
      </c>
      <c r="E38" s="191">
        <f>E39+E40+E41+E42+E43+E45+E47+E48+E49+E50+E51+E56+E57+E61</f>
        <v>24995.029999999995</v>
      </c>
      <c r="F38" s="191">
        <f>F39+F40+F41+F42+F43+F45+F47+F48+F49+F50+F51+F56+F57+F61+F44</f>
        <v>36786.28</v>
      </c>
      <c r="G38" s="191">
        <f>G39+G40+G41+G42+G43+G45+G47+G48+G49+G50+G51+G56+G57+G61</f>
        <v>11763.77</v>
      </c>
      <c r="H38" s="192">
        <f>F38/E38*100</f>
        <v>147.17437826639937</v>
      </c>
      <c r="I38" s="193">
        <f>F38-D38</f>
        <v>-6033.720000000001</v>
      </c>
      <c r="J38" s="193">
        <f>F38/D38*100</f>
        <v>85.90910789350771</v>
      </c>
      <c r="K38" s="191">
        <v>18825.24</v>
      </c>
      <c r="L38" s="191">
        <f t="shared" si="12"/>
        <v>17961.039999999997</v>
      </c>
      <c r="M38" s="250">
        <f t="shared" si="14"/>
        <v>1.9540935467489389</v>
      </c>
      <c r="N38" s="191">
        <f>N39+N40+N41+N42+N43+N45+N47+N48+N49+N50+N51+N56+N57+N61</f>
        <v>3496.9999999999995</v>
      </c>
      <c r="O38" s="191">
        <f>O39+O40+O41+O42+O43+O45+O47+O48+O49+O50+O51+O56+O57+O61+O44</f>
        <v>7525.630000000001</v>
      </c>
      <c r="P38" s="191">
        <f>P39+P40+P41+P42+P43+P45+P47+P48+P49+P50+P51+P56+P57+P61</f>
        <v>4014.7500000000005</v>
      </c>
      <c r="Q38" s="191">
        <f>O38/N38*100</f>
        <v>215.20245925078646</v>
      </c>
      <c r="R38" s="15" t="e">
        <f>#N/A</f>
        <v>#N/A</v>
      </c>
      <c r="S38" s="15" t="e">
        <f>#N/A</f>
        <v>#N/A</v>
      </c>
      <c r="T38" s="186">
        <f t="shared" si="8"/>
        <v>17824.970000000005</v>
      </c>
    </row>
    <row r="39" spans="1:20" s="6" customFormat="1" ht="46.5">
      <c r="A39" s="8"/>
      <c r="B39" s="49" t="s">
        <v>102</v>
      </c>
      <c r="C39" s="48">
        <v>21010301</v>
      </c>
      <c r="D39" s="190">
        <v>100</v>
      </c>
      <c r="E39" s="190">
        <v>70</v>
      </c>
      <c r="F39" s="196">
        <v>241.39</v>
      </c>
      <c r="G39" s="202">
        <f>F39-E39</f>
        <v>171.39</v>
      </c>
      <c r="H39" s="204">
        <f aca="true" t="shared" si="15" ref="H39:H62">F39/E39*100</f>
        <v>344.84285714285716</v>
      </c>
      <c r="I39" s="205">
        <f>F39-D39</f>
        <v>141.39</v>
      </c>
      <c r="J39" s="205">
        <f>F39/D39*100</f>
        <v>241.39</v>
      </c>
      <c r="K39" s="205">
        <v>101.4</v>
      </c>
      <c r="L39" s="205">
        <f t="shared" si="12"/>
        <v>139.98999999999998</v>
      </c>
      <c r="M39" s="266">
        <f t="shared" si="14"/>
        <v>2.3805719921104536</v>
      </c>
      <c r="N39" s="204">
        <f>E39-червень!E38</f>
        <v>3</v>
      </c>
      <c r="O39" s="208">
        <f>F39-червень!F38</f>
        <v>1.2199999999999989</v>
      </c>
      <c r="P39" s="207">
        <f>O39-N39</f>
        <v>-1.7800000000000011</v>
      </c>
      <c r="Q39" s="205">
        <f aca="true" t="shared" si="16" ref="Q39:Q62">O39/N39*100</f>
        <v>40.66666666666663</v>
      </c>
      <c r="R39" s="42"/>
      <c r="S39" s="100"/>
      <c r="T39" s="186">
        <f t="shared" si="8"/>
        <v>30</v>
      </c>
    </row>
    <row r="40" spans="1:20" s="6" customFormat="1" ht="30.75">
      <c r="A40" s="8"/>
      <c r="B40" s="144" t="s">
        <v>80</v>
      </c>
      <c r="C40" s="47">
        <v>21050000</v>
      </c>
      <c r="D40" s="190">
        <v>10000</v>
      </c>
      <c r="E40" s="190">
        <v>7537</v>
      </c>
      <c r="F40" s="196">
        <v>17271.02</v>
      </c>
      <c r="G40" s="202">
        <f aca="true" t="shared" si="17" ref="G40:G63">F40-E40</f>
        <v>9734.02</v>
      </c>
      <c r="H40" s="204">
        <f t="shared" si="15"/>
        <v>229.14979434788378</v>
      </c>
      <c r="I40" s="205">
        <f aca="true" t="shared" si="18" ref="I40:I63">F40-D40</f>
        <v>7271.02</v>
      </c>
      <c r="J40" s="205">
        <f>F40/D40*100</f>
        <v>172.71020000000001</v>
      </c>
      <c r="K40" s="205">
        <v>0</v>
      </c>
      <c r="L40" s="205">
        <f aca="true" t="shared" si="19" ref="L40:L51">F40-K40</f>
        <v>17271.02</v>
      </c>
      <c r="M40" s="266"/>
      <c r="N40" s="204">
        <f>E40-червень!E39</f>
        <v>1000</v>
      </c>
      <c r="O40" s="208">
        <f>F40-червень!F39</f>
        <v>3375.210000000001</v>
      </c>
      <c r="P40" s="207">
        <f aca="true" t="shared" si="20" ref="P40:P63">O40-N40</f>
        <v>2375.210000000001</v>
      </c>
      <c r="Q40" s="205">
        <f t="shared" si="16"/>
        <v>337.5210000000001</v>
      </c>
      <c r="R40" s="42"/>
      <c r="S40" s="100"/>
      <c r="T40" s="186">
        <f t="shared" si="8"/>
        <v>2463</v>
      </c>
    </row>
    <row r="41" spans="1:20" s="6" customFormat="1" ht="18">
      <c r="A41" s="8"/>
      <c r="B41" s="144" t="s">
        <v>62</v>
      </c>
      <c r="C41" s="47">
        <v>21080500</v>
      </c>
      <c r="D41" s="190">
        <v>400</v>
      </c>
      <c r="E41" s="190">
        <f>131.44-20</f>
        <v>111.44</v>
      </c>
      <c r="F41" s="196">
        <v>28.07</v>
      </c>
      <c r="G41" s="202">
        <f t="shared" si="17"/>
        <v>-83.37</v>
      </c>
      <c r="H41" s="204">
        <f t="shared" si="15"/>
        <v>25.18844221105528</v>
      </c>
      <c r="I41" s="205">
        <f t="shared" si="18"/>
        <v>-371.93</v>
      </c>
      <c r="J41" s="205">
        <f aca="true" t="shared" si="21" ref="J41:J62">F41/D41*100</f>
        <v>7.0175</v>
      </c>
      <c r="K41" s="205">
        <v>246.49</v>
      </c>
      <c r="L41" s="205">
        <f t="shared" si="19"/>
        <v>-218.42000000000002</v>
      </c>
      <c r="M41" s="266">
        <f aca="true" t="shared" si="22" ref="M41:M51">F41/K41</f>
        <v>0.11387885918292831</v>
      </c>
      <c r="N41" s="204">
        <f>E41-червень!E40</f>
        <v>0</v>
      </c>
      <c r="O41" s="208">
        <f>F41-червень!F40</f>
        <v>0</v>
      </c>
      <c r="P41" s="207">
        <f t="shared" si="20"/>
        <v>0</v>
      </c>
      <c r="Q41" s="205" t="e">
        <f t="shared" si="16"/>
        <v>#DIV/0!</v>
      </c>
      <c r="R41" s="42"/>
      <c r="S41" s="100"/>
      <c r="T41" s="186">
        <f t="shared" si="8"/>
        <v>288.56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7"/>
        <v>0.1</v>
      </c>
      <c r="H42" s="204"/>
      <c r="I42" s="205">
        <f t="shared" si="18"/>
        <v>0.1</v>
      </c>
      <c r="J42" s="205"/>
      <c r="K42" s="205">
        <v>0</v>
      </c>
      <c r="L42" s="205">
        <f t="shared" si="19"/>
        <v>0.1</v>
      </c>
      <c r="M42" s="266"/>
      <c r="N42" s="204">
        <f>E42-червень!E41</f>
        <v>0</v>
      </c>
      <c r="O42" s="208">
        <f>F42-червень!F41</f>
        <v>0</v>
      </c>
      <c r="P42" s="207">
        <f t="shared" si="20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70</v>
      </c>
      <c r="F43" s="196">
        <v>187.96</v>
      </c>
      <c r="G43" s="202">
        <f t="shared" si="17"/>
        <v>117.96000000000001</v>
      </c>
      <c r="H43" s="204">
        <f t="shared" si="15"/>
        <v>268.51428571428573</v>
      </c>
      <c r="I43" s="205">
        <f t="shared" si="18"/>
        <v>37.96000000000001</v>
      </c>
      <c r="J43" s="205">
        <f t="shared" si="21"/>
        <v>125.30666666666667</v>
      </c>
      <c r="K43" s="205">
        <v>90.24</v>
      </c>
      <c r="L43" s="205">
        <f t="shared" si="19"/>
        <v>97.72000000000001</v>
      </c>
      <c r="M43" s="266">
        <f t="shared" si="22"/>
        <v>2.082890070921986</v>
      </c>
      <c r="N43" s="204">
        <f>E43-червень!E42</f>
        <v>10</v>
      </c>
      <c r="O43" s="208">
        <f>F43-червень!F42</f>
        <v>126.99000000000001</v>
      </c>
      <c r="P43" s="207">
        <f t="shared" si="20"/>
        <v>116.99000000000001</v>
      </c>
      <c r="Q43" s="205">
        <f t="shared" si="16"/>
        <v>1269.9</v>
      </c>
      <c r="R43" s="42"/>
      <c r="S43" s="100"/>
      <c r="T43" s="186">
        <f t="shared" si="8"/>
        <v>80</v>
      </c>
    </row>
    <row r="44" spans="1:20" s="6" customFormat="1" ht="46.5">
      <c r="A44" s="8"/>
      <c r="B44" s="145" t="s">
        <v>83</v>
      </c>
      <c r="C44" s="77">
        <v>21081500</v>
      </c>
      <c r="D44" s="190">
        <v>0</v>
      </c>
      <c r="E44" s="190">
        <v>0</v>
      </c>
      <c r="F44" s="196">
        <v>27.48</v>
      </c>
      <c r="G44" s="202">
        <f t="shared" si="17"/>
        <v>27.48</v>
      </c>
      <c r="H44" s="204"/>
      <c r="I44" s="205">
        <f t="shared" si="18"/>
        <v>27.48</v>
      </c>
      <c r="J44" s="205"/>
      <c r="K44" s="205">
        <v>3</v>
      </c>
      <c r="L44" s="205">
        <f t="shared" si="19"/>
        <v>24.48</v>
      </c>
      <c r="M44" s="266">
        <f t="shared" si="22"/>
        <v>9.16</v>
      </c>
      <c r="N44" s="204">
        <f>E44-червень!E43</f>
        <v>0</v>
      </c>
      <c r="O44" s="208">
        <f>F44-червень!F43</f>
        <v>13.88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90</v>
      </c>
      <c r="E45" s="190">
        <v>48</v>
      </c>
      <c r="F45" s="196">
        <v>248.37</v>
      </c>
      <c r="G45" s="202">
        <f t="shared" si="17"/>
        <v>200.37</v>
      </c>
      <c r="H45" s="204">
        <f t="shared" si="15"/>
        <v>517.4375</v>
      </c>
      <c r="I45" s="205">
        <f t="shared" si="18"/>
        <v>158.37</v>
      </c>
      <c r="J45" s="205">
        <f t="shared" si="21"/>
        <v>275.9666666666667</v>
      </c>
      <c r="K45" s="205">
        <v>0</v>
      </c>
      <c r="L45" s="205">
        <f t="shared" si="19"/>
        <v>248.37</v>
      </c>
      <c r="M45" s="266"/>
      <c r="N45" s="204">
        <f>E45-червень!E44</f>
        <v>8</v>
      </c>
      <c r="O45" s="208">
        <f>F45-червень!F44</f>
        <v>80.28999999999999</v>
      </c>
      <c r="P45" s="207">
        <f t="shared" si="20"/>
        <v>72.28999999999999</v>
      </c>
      <c r="Q45" s="205">
        <f t="shared" si="16"/>
        <v>1003.6249999999999</v>
      </c>
      <c r="R45" s="42"/>
      <c r="S45" s="100"/>
      <c r="T45" s="186">
        <f t="shared" si="8"/>
        <v>42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9"/>
        <v>0</v>
      </c>
      <c r="M46" s="266" t="e">
        <f t="shared" si="22"/>
        <v>#DIV/0!</v>
      </c>
      <c r="N46" s="204">
        <f>E46-червень!E45</f>
        <v>0</v>
      </c>
      <c r="O46" s="208">
        <f>F46-червень!F45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5339.02</v>
      </c>
      <c r="F47" s="196">
        <v>6090.63</v>
      </c>
      <c r="G47" s="202">
        <f t="shared" si="17"/>
        <v>751.6099999999997</v>
      </c>
      <c r="H47" s="204">
        <f t="shared" si="15"/>
        <v>114.07767717671034</v>
      </c>
      <c r="I47" s="205">
        <f t="shared" si="18"/>
        <v>-3809.37</v>
      </c>
      <c r="J47" s="205">
        <f t="shared" si="21"/>
        <v>61.521515151515146</v>
      </c>
      <c r="K47" s="205">
        <v>5937.66</v>
      </c>
      <c r="L47" s="205">
        <f t="shared" si="19"/>
        <v>152.97000000000025</v>
      </c>
      <c r="M47" s="266">
        <f t="shared" si="22"/>
        <v>1.0257626741847798</v>
      </c>
      <c r="N47" s="204">
        <f>E47-червень!E46</f>
        <v>800</v>
      </c>
      <c r="O47" s="208">
        <f>F47-червень!F46</f>
        <v>1089.5699999999997</v>
      </c>
      <c r="P47" s="207">
        <f t="shared" si="20"/>
        <v>289.5699999999997</v>
      </c>
      <c r="Q47" s="205">
        <f t="shared" si="16"/>
        <v>136.19624999999996</v>
      </c>
      <c r="R47" s="42"/>
      <c r="S47" s="100"/>
      <c r="T47" s="186">
        <f t="shared" si="8"/>
        <v>4560.98</v>
      </c>
    </row>
    <row r="48" spans="1:20" s="6" customFormat="1" ht="31.5">
      <c r="A48" s="8"/>
      <c r="B48" s="188" t="s">
        <v>111</v>
      </c>
      <c r="C48" s="77">
        <v>22012600</v>
      </c>
      <c r="D48" s="190">
        <v>1500</v>
      </c>
      <c r="E48" s="190">
        <f>780-130</f>
        <v>650</v>
      </c>
      <c r="F48" s="196">
        <v>117.39</v>
      </c>
      <c r="G48" s="202">
        <f t="shared" si="17"/>
        <v>-532.61</v>
      </c>
      <c r="H48" s="204">
        <f t="shared" si="15"/>
        <v>18.060000000000002</v>
      </c>
      <c r="I48" s="205">
        <f t="shared" si="18"/>
        <v>-1382.61</v>
      </c>
      <c r="J48" s="205">
        <f t="shared" si="21"/>
        <v>7.826</v>
      </c>
      <c r="K48" s="205">
        <v>0</v>
      </c>
      <c r="L48" s="205">
        <f t="shared" si="19"/>
        <v>117.39</v>
      </c>
      <c r="M48" s="266"/>
      <c r="N48" s="204">
        <f>E48-червень!E47</f>
        <v>0</v>
      </c>
      <c r="O48" s="208">
        <f>F48-червень!F47</f>
        <v>48.47</v>
      </c>
      <c r="P48" s="207">
        <f t="shared" si="20"/>
        <v>48.47</v>
      </c>
      <c r="Q48" s="205" t="e">
        <f t="shared" si="16"/>
        <v>#DIV/0!</v>
      </c>
      <c r="R48" s="42"/>
      <c r="S48" s="100"/>
      <c r="T48" s="186">
        <f t="shared" si="8"/>
        <v>850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24</v>
      </c>
      <c r="F49" s="196">
        <v>8.54</v>
      </c>
      <c r="G49" s="202">
        <f t="shared" si="17"/>
        <v>-15.46</v>
      </c>
      <c r="H49" s="204">
        <f t="shared" si="15"/>
        <v>35.58333333333333</v>
      </c>
      <c r="I49" s="205">
        <f t="shared" si="18"/>
        <v>-41.46</v>
      </c>
      <c r="J49" s="205">
        <f t="shared" si="21"/>
        <v>17.08</v>
      </c>
      <c r="K49" s="205">
        <v>0</v>
      </c>
      <c r="L49" s="205">
        <f t="shared" si="19"/>
        <v>8.54</v>
      </c>
      <c r="M49" s="266"/>
      <c r="N49" s="204">
        <f>E49-червень!E48</f>
        <v>4</v>
      </c>
      <c r="O49" s="208">
        <f>F49-червень!F48</f>
        <v>0</v>
      </c>
      <c r="P49" s="207">
        <f t="shared" si="20"/>
        <v>-4</v>
      </c>
      <c r="Q49" s="205">
        <f t="shared" si="16"/>
        <v>0</v>
      </c>
      <c r="R49" s="42"/>
      <c r="S49" s="100"/>
      <c r="T49" s="186">
        <f t="shared" si="8"/>
        <v>26</v>
      </c>
    </row>
    <row r="50" spans="1:20" s="6" customFormat="1" ht="30.75">
      <c r="A50" s="8"/>
      <c r="B50" s="145" t="s">
        <v>14</v>
      </c>
      <c r="C50" s="54">
        <v>22080400</v>
      </c>
      <c r="D50" s="190">
        <v>8500</v>
      </c>
      <c r="E50" s="190">
        <v>4616.23</v>
      </c>
      <c r="F50" s="196">
        <v>4498</v>
      </c>
      <c r="G50" s="202">
        <f t="shared" si="17"/>
        <v>-118.22999999999956</v>
      </c>
      <c r="H50" s="204">
        <f t="shared" si="15"/>
        <v>97.43881912296398</v>
      </c>
      <c r="I50" s="205">
        <f t="shared" si="18"/>
        <v>-4002</v>
      </c>
      <c r="J50" s="205">
        <f t="shared" si="21"/>
        <v>52.917647058823526</v>
      </c>
      <c r="K50" s="205">
        <v>5141.74</v>
      </c>
      <c r="L50" s="205">
        <f t="shared" si="19"/>
        <v>-643.7399999999998</v>
      </c>
      <c r="M50" s="266">
        <f t="shared" si="22"/>
        <v>0.8748011373581707</v>
      </c>
      <c r="N50" s="204">
        <f>E50-червень!E49</f>
        <v>649.9999999999995</v>
      </c>
      <c r="O50" s="208">
        <f>F50-червень!F49</f>
        <v>569.9499999999998</v>
      </c>
      <c r="P50" s="207">
        <f t="shared" si="20"/>
        <v>-80.04999999999973</v>
      </c>
      <c r="Q50" s="205">
        <f t="shared" si="16"/>
        <v>87.68461538461541</v>
      </c>
      <c r="R50" s="42"/>
      <c r="S50" s="100"/>
      <c r="T50" s="186">
        <f t="shared" si="8"/>
        <v>3883.7700000000004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7300</v>
      </c>
      <c r="E51" s="190">
        <f>3872.19-1</f>
        <v>3871.19</v>
      </c>
      <c r="F51" s="196">
        <v>3724.79</v>
      </c>
      <c r="G51" s="202">
        <f t="shared" si="17"/>
        <v>-146.4000000000001</v>
      </c>
      <c r="H51" s="204">
        <f t="shared" si="15"/>
        <v>96.21821713736603</v>
      </c>
      <c r="I51" s="205">
        <f t="shared" si="18"/>
        <v>-3575.21</v>
      </c>
      <c r="J51" s="205">
        <f t="shared" si="21"/>
        <v>51.02452054794521</v>
      </c>
      <c r="K51" s="205">
        <v>4692.18</v>
      </c>
      <c r="L51" s="205">
        <f t="shared" si="19"/>
        <v>-967.3900000000003</v>
      </c>
      <c r="M51" s="266">
        <f t="shared" si="22"/>
        <v>0.7938293074860725</v>
      </c>
      <c r="N51" s="204">
        <f>E51-червень!E50</f>
        <v>652</v>
      </c>
      <c r="O51" s="208">
        <f>F51-червень!F50</f>
        <v>630.1599999999999</v>
      </c>
      <c r="P51" s="207">
        <f t="shared" si="20"/>
        <v>-21.840000000000146</v>
      </c>
      <c r="Q51" s="205">
        <f t="shared" si="16"/>
        <v>96.65030674846624</v>
      </c>
      <c r="R51" s="42"/>
      <c r="S51" s="100"/>
      <c r="T51" s="186">
        <f t="shared" si="8"/>
        <v>3428.81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1100</v>
      </c>
      <c r="E52" s="109">
        <v>643.99</v>
      </c>
      <c r="F52" s="171">
        <v>504.14</v>
      </c>
      <c r="G52" s="36">
        <f t="shared" si="17"/>
        <v>-139.85000000000002</v>
      </c>
      <c r="H52" s="32">
        <f t="shared" si="15"/>
        <v>78.28382428298576</v>
      </c>
      <c r="I52" s="110">
        <f t="shared" si="18"/>
        <v>-595.86</v>
      </c>
      <c r="J52" s="110">
        <f t="shared" si="21"/>
        <v>45.83090909090909</v>
      </c>
      <c r="K52" s="110">
        <v>675.25</v>
      </c>
      <c r="L52" s="110">
        <f>F52-K52</f>
        <v>-171.11</v>
      </c>
      <c r="M52" s="115">
        <f aca="true" t="shared" si="23" ref="M52:M57">F52/K52</f>
        <v>0.7465975564605701</v>
      </c>
      <c r="N52" s="111">
        <f>E52-червень!E51</f>
        <v>92</v>
      </c>
      <c r="O52" s="179">
        <f>F52-червень!F51</f>
        <v>83.46999999999997</v>
      </c>
      <c r="P52" s="112">
        <f t="shared" si="20"/>
        <v>-8.53000000000003</v>
      </c>
      <c r="Q52" s="132">
        <f t="shared" si="16"/>
        <v>90.72826086956518</v>
      </c>
      <c r="R52" s="42"/>
      <c r="S52" s="100"/>
      <c r="T52" s="186">
        <f t="shared" si="8"/>
        <v>456.01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45</v>
      </c>
      <c r="E53" s="109">
        <f>6.04-1</f>
        <v>5.04</v>
      </c>
      <c r="F53" s="171">
        <f>0.26</f>
        <v>0.26</v>
      </c>
      <c r="G53" s="36">
        <f t="shared" si="17"/>
        <v>-4.78</v>
      </c>
      <c r="H53" s="32">
        <f t="shared" si="15"/>
        <v>5.158730158730159</v>
      </c>
      <c r="I53" s="110">
        <f t="shared" si="18"/>
        <v>-44.74</v>
      </c>
      <c r="J53" s="110">
        <f t="shared" si="21"/>
        <v>0.5777777777777778</v>
      </c>
      <c r="K53" s="110">
        <v>45.43</v>
      </c>
      <c r="L53" s="110">
        <f>F53-K53</f>
        <v>-45.17</v>
      </c>
      <c r="M53" s="115">
        <f t="shared" si="23"/>
        <v>0.005723090468853181</v>
      </c>
      <c r="N53" s="111">
        <f>E53-червень!E52</f>
        <v>0</v>
      </c>
      <c r="O53" s="179">
        <f>F53-червень!F52</f>
        <v>0.020000000000000018</v>
      </c>
      <c r="P53" s="112">
        <f t="shared" si="20"/>
        <v>0.020000000000000018</v>
      </c>
      <c r="Q53" s="132" t="e">
        <f t="shared" si="16"/>
        <v>#DIV/0!</v>
      </c>
      <c r="R53" s="42"/>
      <c r="S53" s="100"/>
      <c r="T53" s="186">
        <f t="shared" si="8"/>
        <v>39.96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7"/>
        <v>0.02</v>
      </c>
      <c r="H54" s="32"/>
      <c r="I54" s="110">
        <f t="shared" si="18"/>
        <v>-0.98</v>
      </c>
      <c r="J54" s="110">
        <f t="shared" si="21"/>
        <v>2</v>
      </c>
      <c r="K54" s="110">
        <v>0.75</v>
      </c>
      <c r="L54" s="110">
        <f>F54-K54</f>
        <v>-0.73</v>
      </c>
      <c r="M54" s="115">
        <f t="shared" si="23"/>
        <v>0.02666666666666667</v>
      </c>
      <c r="N54" s="111">
        <f>E54-червень!E53</f>
        <v>0</v>
      </c>
      <c r="O54" s="179">
        <f>F54-червень!F53</f>
        <v>0</v>
      </c>
      <c r="P54" s="112">
        <f t="shared" si="20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6154</v>
      </c>
      <c r="E55" s="109">
        <v>3222.17</v>
      </c>
      <c r="F55" s="171">
        <v>3220.38</v>
      </c>
      <c r="G55" s="36">
        <f t="shared" si="17"/>
        <v>-1.7899999999999636</v>
      </c>
      <c r="H55" s="32">
        <f t="shared" si="15"/>
        <v>99.94444737552644</v>
      </c>
      <c r="I55" s="110">
        <f t="shared" si="18"/>
        <v>-2933.62</v>
      </c>
      <c r="J55" s="110">
        <f t="shared" si="21"/>
        <v>52.32986675333117</v>
      </c>
      <c r="K55" s="110">
        <v>3970.78</v>
      </c>
      <c r="L55" s="110">
        <f>F55-K55</f>
        <v>-750.4000000000001</v>
      </c>
      <c r="M55" s="115">
        <f t="shared" si="23"/>
        <v>0.8110194974287168</v>
      </c>
      <c r="N55" s="111">
        <f>E55-червень!E54</f>
        <v>560</v>
      </c>
      <c r="O55" s="179">
        <f>F55-червень!F54</f>
        <v>546.6700000000001</v>
      </c>
      <c r="P55" s="112">
        <f t="shared" si="20"/>
        <v>-13.329999999999927</v>
      </c>
      <c r="Q55" s="132">
        <f t="shared" si="16"/>
        <v>97.61964285714288</v>
      </c>
      <c r="R55" s="42"/>
      <c r="S55" s="100"/>
      <c r="T55" s="186">
        <f t="shared" si="8"/>
        <v>2931.83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7"/>
        <v>2.29</v>
      </c>
      <c r="H56" s="204">
        <f t="shared" si="15"/>
        <v>1447.0588235294117</v>
      </c>
      <c r="I56" s="205">
        <f t="shared" si="18"/>
        <v>-7.54</v>
      </c>
      <c r="J56" s="205">
        <f t="shared" si="21"/>
        <v>24.6</v>
      </c>
      <c r="K56" s="205">
        <v>0</v>
      </c>
      <c r="L56" s="205">
        <f>F56-K56</f>
        <v>2.46</v>
      </c>
      <c r="M56" s="266" t="e">
        <f t="shared" si="23"/>
        <v>#DIV/0!</v>
      </c>
      <c r="N56" s="204">
        <f>E56-червень!E55</f>
        <v>0</v>
      </c>
      <c r="O56" s="208">
        <f>F56-червень!F55</f>
        <v>0</v>
      </c>
      <c r="P56" s="207">
        <f t="shared" si="20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4800</v>
      </c>
      <c r="E57" s="190">
        <v>2637.98</v>
      </c>
      <c r="F57" s="196">
        <v>4261.9</v>
      </c>
      <c r="G57" s="202">
        <f t="shared" si="17"/>
        <v>1623.9199999999996</v>
      </c>
      <c r="H57" s="204">
        <f t="shared" si="15"/>
        <v>161.55922334513528</v>
      </c>
      <c r="I57" s="205">
        <f t="shared" si="18"/>
        <v>-538.1000000000004</v>
      </c>
      <c r="J57" s="205">
        <f t="shared" si="21"/>
        <v>88.78958333333333</v>
      </c>
      <c r="K57" s="205">
        <v>2611.92</v>
      </c>
      <c r="L57" s="205">
        <f aca="true" t="shared" si="24" ref="L57:L63">F57-K57</f>
        <v>1649.9799999999996</v>
      </c>
      <c r="M57" s="266">
        <f t="shared" si="23"/>
        <v>1.6317115378725227</v>
      </c>
      <c r="N57" s="204">
        <f>E57-червень!E56</f>
        <v>370</v>
      </c>
      <c r="O57" s="208">
        <f>F57-червень!F56</f>
        <v>1552.7599999999998</v>
      </c>
      <c r="P57" s="207">
        <f t="shared" si="20"/>
        <v>1182.7599999999998</v>
      </c>
      <c r="Q57" s="205">
        <f t="shared" si="16"/>
        <v>419.66486486486485</v>
      </c>
      <c r="R57" s="42"/>
      <c r="S57" s="100"/>
      <c r="T57" s="186">
        <f t="shared" si="8"/>
        <v>2162.02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7"/>
        <v>0</v>
      </c>
      <c r="H58" s="204" t="e">
        <f t="shared" si="15"/>
        <v>#DIV/0!</v>
      </c>
      <c r="I58" s="205">
        <f t="shared" si="18"/>
        <v>0</v>
      </c>
      <c r="J58" s="205" t="e">
        <f t="shared" si="21"/>
        <v>#DIV/0!</v>
      </c>
      <c r="K58" s="205"/>
      <c r="L58" s="205">
        <f t="shared" si="24"/>
        <v>0</v>
      </c>
      <c r="M58" s="266" t="e">
        <f aca="true" t="shared" si="25" ref="M58:M63">F58/K58</f>
        <v>#DIV/0!</v>
      </c>
      <c r="N58" s="204">
        <f>E58-червень!E57</f>
        <v>0</v>
      </c>
      <c r="O58" s="208">
        <f>F58-квітень!F53</f>
        <v>0</v>
      </c>
      <c r="P58" s="207">
        <f t="shared" si="20"/>
        <v>0</v>
      </c>
      <c r="Q58" s="205" t="e">
        <f t="shared" si="16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730.88</v>
      </c>
      <c r="G59" s="202"/>
      <c r="H59" s="204"/>
      <c r="I59" s="205"/>
      <c r="J59" s="205"/>
      <c r="K59" s="206">
        <v>683.21</v>
      </c>
      <c r="L59" s="205">
        <f t="shared" si="24"/>
        <v>47.66999999999996</v>
      </c>
      <c r="M59" s="266">
        <f t="shared" si="25"/>
        <v>1.0697735688880432</v>
      </c>
      <c r="N59" s="236"/>
      <c r="O59" s="220">
        <f>F59-червень!F58</f>
        <v>139.21000000000004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7"/>
        <v>0</v>
      </c>
      <c r="H60" s="204"/>
      <c r="I60" s="205">
        <f t="shared" si="18"/>
        <v>0</v>
      </c>
      <c r="J60" s="205"/>
      <c r="K60" s="206"/>
      <c r="L60" s="205">
        <f t="shared" si="24"/>
        <v>0</v>
      </c>
      <c r="M60" s="266" t="e">
        <f t="shared" si="25"/>
        <v>#DIV/0!</v>
      </c>
      <c r="N60" s="204">
        <f>E60-квітень!E55</f>
        <v>0</v>
      </c>
      <c r="O60" s="208">
        <f>F60-квітень!F55</f>
        <v>0</v>
      </c>
      <c r="P60" s="207">
        <f t="shared" si="20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20</v>
      </c>
      <c r="E61" s="190">
        <v>20</v>
      </c>
      <c r="F61" s="196">
        <v>78.18</v>
      </c>
      <c r="G61" s="202">
        <f t="shared" si="17"/>
        <v>58.18000000000001</v>
      </c>
      <c r="H61" s="204">
        <f t="shared" si="15"/>
        <v>390.90000000000003</v>
      </c>
      <c r="I61" s="205">
        <f t="shared" si="18"/>
        <v>58.18000000000001</v>
      </c>
      <c r="J61" s="205">
        <f t="shared" si="21"/>
        <v>390.90000000000003</v>
      </c>
      <c r="K61" s="205">
        <v>0.6</v>
      </c>
      <c r="L61" s="205">
        <f t="shared" si="24"/>
        <v>77.58000000000001</v>
      </c>
      <c r="M61" s="266">
        <f t="shared" si="25"/>
        <v>130.3</v>
      </c>
      <c r="N61" s="204">
        <f>E61-червень!E60</f>
        <v>0</v>
      </c>
      <c r="O61" s="208">
        <f>F61-червень!F60</f>
        <v>37.13000000000001</v>
      </c>
      <c r="P61" s="207">
        <f t="shared" si="20"/>
        <v>37.13000000000001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14.5</v>
      </c>
      <c r="F62" s="196">
        <v>13.52</v>
      </c>
      <c r="G62" s="202">
        <f t="shared" si="17"/>
        <v>-0.9800000000000004</v>
      </c>
      <c r="H62" s="204">
        <f t="shared" si="15"/>
        <v>93.24137931034483</v>
      </c>
      <c r="I62" s="205">
        <f t="shared" si="18"/>
        <v>-16.48</v>
      </c>
      <c r="J62" s="205">
        <f t="shared" si="21"/>
        <v>45.06666666666666</v>
      </c>
      <c r="K62" s="205">
        <v>14.42</v>
      </c>
      <c r="L62" s="205">
        <f t="shared" si="24"/>
        <v>-0.9000000000000004</v>
      </c>
      <c r="M62" s="266">
        <f t="shared" si="25"/>
        <v>0.9375866851595007</v>
      </c>
      <c r="N62" s="204">
        <f>E62-червень!E61</f>
        <v>2.3000000000000007</v>
      </c>
      <c r="O62" s="208">
        <f>F62-червень!F61</f>
        <v>0</v>
      </c>
      <c r="P62" s="207">
        <f t="shared" si="20"/>
        <v>-2.3000000000000007</v>
      </c>
      <c r="Q62" s="205">
        <f t="shared" si="16"/>
        <v>0</v>
      </c>
      <c r="R62" s="42"/>
      <c r="S62" s="100"/>
      <c r="T62" s="186">
        <f t="shared" si="8"/>
        <v>15.5</v>
      </c>
    </row>
    <row r="63" spans="1:20" s="6" customFormat="1" ht="30.75">
      <c r="A63" s="8"/>
      <c r="B63" s="12" t="s">
        <v>58</v>
      </c>
      <c r="C63" s="48">
        <v>31020000</v>
      </c>
      <c r="D63" s="190">
        <v>0.6</v>
      </c>
      <c r="E63" s="190">
        <v>0</v>
      </c>
      <c r="F63" s="196">
        <v>1.02</v>
      </c>
      <c r="G63" s="202">
        <f t="shared" si="17"/>
        <v>1.02</v>
      </c>
      <c r="H63" s="204"/>
      <c r="I63" s="205">
        <f t="shared" si="18"/>
        <v>0.42000000000000004</v>
      </c>
      <c r="J63" s="205"/>
      <c r="K63" s="205">
        <v>0.1</v>
      </c>
      <c r="L63" s="205">
        <f t="shared" si="24"/>
        <v>0.92</v>
      </c>
      <c r="M63" s="266">
        <f t="shared" si="25"/>
        <v>10.2</v>
      </c>
      <c r="N63" s="204">
        <f>E63-травень!E62</f>
        <v>0</v>
      </c>
      <c r="O63" s="208">
        <f>F63-червень!F62</f>
        <v>0.62</v>
      </c>
      <c r="P63" s="207">
        <f t="shared" si="20"/>
        <v>0.62</v>
      </c>
      <c r="Q63" s="205"/>
      <c r="R63" s="42"/>
      <c r="S63" s="100"/>
      <c r="T63" s="186">
        <f t="shared" si="8"/>
        <v>0.6</v>
      </c>
    </row>
    <row r="64" spans="1:21" s="6" customFormat="1" ht="18">
      <c r="A64" s="9"/>
      <c r="B64" s="14" t="s">
        <v>28</v>
      </c>
      <c r="C64" s="67"/>
      <c r="D64" s="191">
        <f>D8+D38+D62+D63</f>
        <v>883900.6</v>
      </c>
      <c r="E64" s="191">
        <f>E8+E38+E62+E63</f>
        <v>523960.81</v>
      </c>
      <c r="F64" s="191">
        <f>F8+F38+F62+F63</f>
        <v>580607.7800000001</v>
      </c>
      <c r="G64" s="191">
        <f>F64-E64</f>
        <v>56646.97000000015</v>
      </c>
      <c r="H64" s="192">
        <f>F64/E64*100</f>
        <v>110.81129903589549</v>
      </c>
      <c r="I64" s="193">
        <f>F64-D64</f>
        <v>-303292.81999999983</v>
      </c>
      <c r="J64" s="193">
        <f>F64/D64*100</f>
        <v>65.6869991942533</v>
      </c>
      <c r="K64" s="193">
        <v>385611.99</v>
      </c>
      <c r="L64" s="193">
        <f>F64-K64</f>
        <v>194995.79000000015</v>
      </c>
      <c r="M64" s="267">
        <f>F64/K64</f>
        <v>1.505678752364521</v>
      </c>
      <c r="N64" s="191">
        <f>N8+N38+N62+N63</f>
        <v>82214.80000000003</v>
      </c>
      <c r="O64" s="191">
        <f>O8+O38+O62+O63</f>
        <v>85821.78</v>
      </c>
      <c r="P64" s="195">
        <f>O64-N64</f>
        <v>3606.979999999967</v>
      </c>
      <c r="Q64" s="193">
        <f>O64/N64*100</f>
        <v>104.38726360703907</v>
      </c>
      <c r="R64" s="28">
        <f>O64-34768</f>
        <v>51053.78</v>
      </c>
      <c r="S64" s="128">
        <f>O64/34768</f>
        <v>2.468412908421537</v>
      </c>
      <c r="T64" s="186">
        <f t="shared" si="8"/>
        <v>359939.79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f>F69-0</f>
        <v>0.01</v>
      </c>
      <c r="L69" s="207">
        <f>F69-K69</f>
        <v>0</v>
      </c>
      <c r="M69" s="254">
        <f>F69/K69</f>
        <v>1</v>
      </c>
      <c r="N69" s="202"/>
      <c r="O69" s="223">
        <f>F69-червень!F68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-2.3</v>
      </c>
      <c r="G70" s="202">
        <f>F70-E70</f>
        <v>-2.3</v>
      </c>
      <c r="H70" s="204"/>
      <c r="I70" s="207">
        <f>F70-D70</f>
        <v>-2.3</v>
      </c>
      <c r="J70" s="207"/>
      <c r="K70" s="207">
        <v>-49.19</v>
      </c>
      <c r="L70" s="207">
        <f>F70-K70</f>
        <v>46.89</v>
      </c>
      <c r="M70" s="254">
        <f>F70/K70</f>
        <v>0.046757471030697294</v>
      </c>
      <c r="N70" s="204"/>
      <c r="O70" s="223">
        <f>F70-червень!F69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-2.29</v>
      </c>
      <c r="G71" s="226">
        <f>F71-E71</f>
        <v>-2.29</v>
      </c>
      <c r="H71" s="227"/>
      <c r="I71" s="228">
        <f>F71-D71</f>
        <v>-2.29</v>
      </c>
      <c r="J71" s="228"/>
      <c r="K71" s="228">
        <v>-49.19</v>
      </c>
      <c r="L71" s="228">
        <f>F71-K71</f>
        <v>46.9</v>
      </c>
      <c r="M71" s="260">
        <f>F71/K71</f>
        <v>0.04655417767838992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1800</v>
      </c>
      <c r="F73" s="222">
        <v>1535.06</v>
      </c>
      <c r="G73" s="202">
        <f aca="true" t="shared" si="26" ref="G73:G83">F73-E73</f>
        <v>-264.94000000000005</v>
      </c>
      <c r="H73" s="204"/>
      <c r="I73" s="207">
        <f aca="true" t="shared" si="27" ref="I73:I83">F73-D73</f>
        <v>-2664.94</v>
      </c>
      <c r="J73" s="207">
        <f>F73/D73*100</f>
        <v>36.54904761904762</v>
      </c>
      <c r="K73" s="207">
        <v>592.98</v>
      </c>
      <c r="L73" s="207">
        <f aca="true" t="shared" si="28" ref="L73:L83">F73-K73</f>
        <v>942.0799999999999</v>
      </c>
      <c r="M73" s="254">
        <f>F73/K73</f>
        <v>2.588721373402138</v>
      </c>
      <c r="N73" s="204">
        <f>E73-червень!E72</f>
        <v>387</v>
      </c>
      <c r="O73" s="208">
        <f>F73-червень!F72</f>
        <v>493.03999999999996</v>
      </c>
      <c r="P73" s="207">
        <f aca="true" t="shared" si="29" ref="P73:P86">O73-N73</f>
        <v>106.03999999999996</v>
      </c>
      <c r="Q73" s="207">
        <f>O73/N73*100</f>
        <v>127.40051679586561</v>
      </c>
      <c r="R73" s="43"/>
      <c r="S73" s="103"/>
      <c r="T73" s="186">
        <f t="shared" si="8"/>
        <v>2400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3327.31</v>
      </c>
      <c r="F74" s="222">
        <v>6751.5</v>
      </c>
      <c r="G74" s="202">
        <f t="shared" si="26"/>
        <v>3424.19</v>
      </c>
      <c r="H74" s="204">
        <f>F74/E74*100</f>
        <v>202.91166137209936</v>
      </c>
      <c r="I74" s="207">
        <f t="shared" si="27"/>
        <v>-707.5</v>
      </c>
      <c r="J74" s="207">
        <f>F74/D74*100</f>
        <v>90.51481431827322</v>
      </c>
      <c r="K74" s="207">
        <v>3579.75</v>
      </c>
      <c r="L74" s="207">
        <f t="shared" si="28"/>
        <v>3171.75</v>
      </c>
      <c r="M74" s="254">
        <f>F74/K74</f>
        <v>1.8860255604441651</v>
      </c>
      <c r="N74" s="204">
        <f>E74-червень!E73</f>
        <v>1093.6</v>
      </c>
      <c r="O74" s="208">
        <f>F74-червень!F73</f>
        <v>5815.46</v>
      </c>
      <c r="P74" s="207">
        <f t="shared" si="29"/>
        <v>4721.860000000001</v>
      </c>
      <c r="Q74" s="207">
        <f>O74/N74*100</f>
        <v>531.7721287490857</v>
      </c>
      <c r="R74" s="43"/>
      <c r="S74" s="103"/>
      <c r="T74" s="186">
        <f aca="true" t="shared" si="30" ref="T74:T90">D74-E74</f>
        <v>4131.6900000000005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2094.85</v>
      </c>
      <c r="F75" s="222">
        <v>9509.69</v>
      </c>
      <c r="G75" s="202">
        <f t="shared" si="26"/>
        <v>7414.84</v>
      </c>
      <c r="H75" s="204">
        <f>F75/E75*100</f>
        <v>453.95565314939023</v>
      </c>
      <c r="I75" s="207">
        <f t="shared" si="27"/>
        <v>3509.6900000000005</v>
      </c>
      <c r="J75" s="207">
        <f>F75/D75*100</f>
        <v>158.49483333333333</v>
      </c>
      <c r="K75" s="207">
        <v>1818.64</v>
      </c>
      <c r="L75" s="207">
        <f t="shared" si="28"/>
        <v>7691.05</v>
      </c>
      <c r="M75" s="254">
        <f>F75/K75</f>
        <v>5.2290117890291645</v>
      </c>
      <c r="N75" s="204">
        <f>E75-червень!E74</f>
        <v>302</v>
      </c>
      <c r="O75" s="208">
        <f>F75-червень!F74</f>
        <v>135.1800000000003</v>
      </c>
      <c r="P75" s="207">
        <f t="shared" si="29"/>
        <v>-166.8199999999997</v>
      </c>
      <c r="Q75" s="207">
        <f>O75/N75*100</f>
        <v>44.76158940397361</v>
      </c>
      <c r="R75" s="43"/>
      <c r="S75" s="103"/>
      <c r="T75" s="186">
        <f t="shared" si="30"/>
        <v>3905.15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7</v>
      </c>
      <c r="F76" s="222">
        <v>6</v>
      </c>
      <c r="G76" s="202">
        <f t="shared" si="26"/>
        <v>-1</v>
      </c>
      <c r="H76" s="204">
        <f>F76/E76*100</f>
        <v>85.71428571428571</v>
      </c>
      <c r="I76" s="207">
        <f t="shared" si="27"/>
        <v>-6</v>
      </c>
      <c r="J76" s="207">
        <f>F76/D76*100</f>
        <v>50</v>
      </c>
      <c r="K76" s="207">
        <v>0</v>
      </c>
      <c r="L76" s="207">
        <f t="shared" si="28"/>
        <v>6</v>
      </c>
      <c r="M76" s="254"/>
      <c r="N76" s="204">
        <f>E76-червень!E75</f>
        <v>1</v>
      </c>
      <c r="O76" s="208">
        <f>F76-червень!F75</f>
        <v>0</v>
      </c>
      <c r="P76" s="207">
        <f t="shared" si="29"/>
        <v>-1</v>
      </c>
      <c r="Q76" s="207">
        <f>O76/N76*100</f>
        <v>0</v>
      </c>
      <c r="R76" s="43"/>
      <c r="S76" s="151"/>
      <c r="T76" s="186">
        <f t="shared" si="30"/>
        <v>5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7229.16</v>
      </c>
      <c r="F77" s="225">
        <f>F73+F74+F75+F76</f>
        <v>17802.25</v>
      </c>
      <c r="G77" s="226">
        <f t="shared" si="26"/>
        <v>10573.09</v>
      </c>
      <c r="H77" s="227">
        <f>F77/E77*100</f>
        <v>246.2561348759745</v>
      </c>
      <c r="I77" s="228">
        <f t="shared" si="27"/>
        <v>131.25</v>
      </c>
      <c r="J77" s="228">
        <f>F77/D77*100</f>
        <v>100.74274234621696</v>
      </c>
      <c r="K77" s="228">
        <v>5991.37</v>
      </c>
      <c r="L77" s="228">
        <f t="shared" si="28"/>
        <v>11810.880000000001</v>
      </c>
      <c r="M77" s="260">
        <f>F77/K77</f>
        <v>2.9713154086627935</v>
      </c>
      <c r="N77" s="226">
        <f>N73+N74+N75+N76</f>
        <v>1783.6</v>
      </c>
      <c r="O77" s="230">
        <f>O73+O74+O75+O76</f>
        <v>6443.68</v>
      </c>
      <c r="P77" s="228">
        <f t="shared" si="29"/>
        <v>4660.08</v>
      </c>
      <c r="Q77" s="228">
        <f>O77/N77*100</f>
        <v>361.27382821260375</v>
      </c>
      <c r="R77" s="44"/>
      <c r="S77" s="129"/>
      <c r="T77" s="186">
        <f t="shared" si="30"/>
        <v>10441.84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5.21</v>
      </c>
      <c r="G78" s="202">
        <f t="shared" si="26"/>
        <v>5.21</v>
      </c>
      <c r="H78" s="204"/>
      <c r="I78" s="207">
        <f t="shared" si="27"/>
        <v>4.21</v>
      </c>
      <c r="J78" s="207"/>
      <c r="K78" s="207">
        <v>0.09</v>
      </c>
      <c r="L78" s="207">
        <f t="shared" si="28"/>
        <v>5.12</v>
      </c>
      <c r="M78" s="254">
        <f>F78/K78</f>
        <v>57.88888888888889</v>
      </c>
      <c r="N78" s="204">
        <f>E78-червень!E77</f>
        <v>0</v>
      </c>
      <c r="O78" s="208">
        <f>F78-червень!F77</f>
        <v>0.019999999999999574</v>
      </c>
      <c r="P78" s="207">
        <f t="shared" si="29"/>
        <v>0.019999999999999574</v>
      </c>
      <c r="Q78" s="207"/>
      <c r="R78" s="43"/>
      <c r="S78" s="103"/>
      <c r="T78" s="186">
        <f t="shared" si="30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26"/>
        <v>0</v>
      </c>
      <c r="H79" s="204"/>
      <c r="I79" s="207">
        <f t="shared" si="27"/>
        <v>0</v>
      </c>
      <c r="J79" s="231"/>
      <c r="K79" s="207">
        <f>F79-0</f>
        <v>0</v>
      </c>
      <c r="L79" s="207">
        <f t="shared" si="28"/>
        <v>0</v>
      </c>
      <c r="M79" s="254" t="e">
        <f>F79/K79</f>
        <v>#DIV/0!</v>
      </c>
      <c r="N79" s="204">
        <f>E79-червень!E78</f>
        <v>0</v>
      </c>
      <c r="O79" s="208">
        <f>F79-червень!F78</f>
        <v>0</v>
      </c>
      <c r="P79" s="207">
        <f t="shared" si="29"/>
        <v>0</v>
      </c>
      <c r="Q79" s="231"/>
      <c r="R79" s="46"/>
      <c r="S79" s="105"/>
      <c r="T79" s="186">
        <f t="shared" si="30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5127.3</v>
      </c>
      <c r="F80" s="222">
        <v>4902.34</v>
      </c>
      <c r="G80" s="202">
        <f t="shared" si="26"/>
        <v>-224.96000000000004</v>
      </c>
      <c r="H80" s="204">
        <f>F80/E80*100</f>
        <v>95.61250560723967</v>
      </c>
      <c r="I80" s="207">
        <f t="shared" si="27"/>
        <v>-4597.66</v>
      </c>
      <c r="J80" s="207">
        <f>F80/D80*100</f>
        <v>51.60357894736842</v>
      </c>
      <c r="K80" s="207">
        <v>0</v>
      </c>
      <c r="L80" s="207">
        <f t="shared" si="28"/>
        <v>4902.34</v>
      </c>
      <c r="M80" s="254"/>
      <c r="N80" s="204">
        <f>E80-червень!E79</f>
        <v>10</v>
      </c>
      <c r="O80" s="208">
        <f>F80-червень!F79</f>
        <v>11.900000000000546</v>
      </c>
      <c r="P80" s="207">
        <f>O80-N80</f>
        <v>1.9000000000005457</v>
      </c>
      <c r="Q80" s="231">
        <f>O80/N80*100</f>
        <v>119.00000000000546</v>
      </c>
      <c r="R80" s="46"/>
      <c r="S80" s="105"/>
      <c r="T80" s="186">
        <f t="shared" si="30"/>
        <v>4372.7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0.92</v>
      </c>
      <c r="G81" s="202">
        <f t="shared" si="26"/>
        <v>0.92</v>
      </c>
      <c r="H81" s="204"/>
      <c r="I81" s="207">
        <f t="shared" si="27"/>
        <v>0.92</v>
      </c>
      <c r="J81" s="207"/>
      <c r="K81" s="207">
        <v>0.72</v>
      </c>
      <c r="L81" s="207">
        <f t="shared" si="28"/>
        <v>0.20000000000000007</v>
      </c>
      <c r="M81" s="254">
        <f>F81/K81</f>
        <v>1.277777777777778</v>
      </c>
      <c r="N81" s="204">
        <f>E81-червень!E80</f>
        <v>0</v>
      </c>
      <c r="O81" s="208">
        <f>F81-червень!F80</f>
        <v>0.10999999999999999</v>
      </c>
      <c r="P81" s="207">
        <f t="shared" si="29"/>
        <v>0.10999999999999999</v>
      </c>
      <c r="Q81" s="207"/>
      <c r="R81" s="43"/>
      <c r="S81" s="103"/>
      <c r="T81" s="186">
        <f t="shared" si="30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5127.3</v>
      </c>
      <c r="F82" s="225">
        <f>F78+F81+F79+F80</f>
        <v>4908.47</v>
      </c>
      <c r="G82" s="224">
        <f>G78+G81+G79+G80</f>
        <v>-218.83000000000004</v>
      </c>
      <c r="H82" s="227">
        <f>F82/E82*100</f>
        <v>95.73206170889162</v>
      </c>
      <c r="I82" s="228">
        <f t="shared" si="27"/>
        <v>-4592.53</v>
      </c>
      <c r="J82" s="228">
        <f>F82/D82*100</f>
        <v>51.66266708767498</v>
      </c>
      <c r="K82" s="228">
        <v>0.83</v>
      </c>
      <c r="L82" s="228">
        <f t="shared" si="28"/>
        <v>4907.64</v>
      </c>
      <c r="M82" s="268">
        <f>F82/K82</f>
        <v>5913.819277108434</v>
      </c>
      <c r="N82" s="226">
        <f>N78+N81+N79+N80</f>
        <v>10</v>
      </c>
      <c r="O82" s="230">
        <f>O78+O81+O79+O80</f>
        <v>12.030000000000545</v>
      </c>
      <c r="P82" s="226">
        <f>P78+P81+P79+P80</f>
        <v>2.030000000000545</v>
      </c>
      <c r="Q82" s="228">
        <f>O82/N82*100</f>
        <v>120.30000000000544</v>
      </c>
      <c r="R82" s="44"/>
      <c r="S82" s="102"/>
      <c r="T82" s="186">
        <f t="shared" si="30"/>
        <v>4373.7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20.3</v>
      </c>
      <c r="F83" s="222">
        <v>18.76</v>
      </c>
      <c r="G83" s="202">
        <f t="shared" si="26"/>
        <v>-1.5399999999999991</v>
      </c>
      <c r="H83" s="204">
        <f>F83/E83*100</f>
        <v>92.41379310344828</v>
      </c>
      <c r="I83" s="207">
        <f t="shared" si="27"/>
        <v>-24.24</v>
      </c>
      <c r="J83" s="207">
        <f>F83/D83*100</f>
        <v>43.62790697674419</v>
      </c>
      <c r="K83" s="207">
        <v>20.55</v>
      </c>
      <c r="L83" s="207">
        <f t="shared" si="28"/>
        <v>-1.7899999999999991</v>
      </c>
      <c r="M83" s="254">
        <f>F83/K83</f>
        <v>0.9128953771289539</v>
      </c>
      <c r="N83" s="204">
        <f>E83-червень!E82</f>
        <v>0.6000000000000014</v>
      </c>
      <c r="O83" s="208">
        <f>F83-червень!F82</f>
        <v>0.5100000000000016</v>
      </c>
      <c r="P83" s="207">
        <f t="shared" si="29"/>
        <v>-0.08999999999999986</v>
      </c>
      <c r="Q83" s="207">
        <f>O83/N83</f>
        <v>0.8500000000000006</v>
      </c>
      <c r="R83" s="43"/>
      <c r="S83" s="103"/>
      <c r="T83" s="186">
        <f t="shared" si="30"/>
        <v>22.7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f>F84-0</f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9"/>
        <v>0</v>
      </c>
      <c r="Q84" s="207"/>
      <c r="R84" s="43"/>
      <c r="S84" s="103"/>
      <c r="T84" s="186">
        <f t="shared" si="30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12376.76</v>
      </c>
      <c r="F85" s="232">
        <f>F71+F83+F77+F82+F84</f>
        <v>22727.190000000002</v>
      </c>
      <c r="G85" s="233">
        <f>F85-E85</f>
        <v>10350.430000000002</v>
      </c>
      <c r="H85" s="234">
        <f>F85/E85*100</f>
        <v>183.62794463171298</v>
      </c>
      <c r="I85" s="235">
        <f>F85-D85</f>
        <v>-4487.809999999998</v>
      </c>
      <c r="J85" s="235">
        <f>F85/D85*100</f>
        <v>83.50979239390043</v>
      </c>
      <c r="K85" s="235">
        <v>5963.75</v>
      </c>
      <c r="L85" s="235">
        <f>F85-K85</f>
        <v>16763.440000000002</v>
      </c>
      <c r="M85" s="269">
        <f>F85/K85</f>
        <v>3.8108891217774055</v>
      </c>
      <c r="N85" s="232">
        <f>N71+N83+N77+N82</f>
        <v>1794.1999999999998</v>
      </c>
      <c r="O85" s="232">
        <f>O71+O83+O77+O82+O84</f>
        <v>6456.220000000001</v>
      </c>
      <c r="P85" s="235">
        <f t="shared" si="29"/>
        <v>4662.020000000001</v>
      </c>
      <c r="Q85" s="235">
        <f>O85/N85*100</f>
        <v>359.83836807490815</v>
      </c>
      <c r="R85" s="28">
        <f>O85-8104.96</f>
        <v>-1648.7399999999989</v>
      </c>
      <c r="S85" s="101">
        <f>O85/8104.96</f>
        <v>0.796576417403664</v>
      </c>
      <c r="T85" s="186">
        <f t="shared" si="30"/>
        <v>14838.24</v>
      </c>
    </row>
    <row r="86" spans="2:20" ht="17.25">
      <c r="B86" s="21" t="s">
        <v>33</v>
      </c>
      <c r="C86" s="71"/>
      <c r="D86" s="232">
        <f>D64+D85</f>
        <v>911115.6</v>
      </c>
      <c r="E86" s="232">
        <f>E64+E85</f>
        <v>536337.57</v>
      </c>
      <c r="F86" s="232">
        <f>F64+F85</f>
        <v>603334.9700000002</v>
      </c>
      <c r="G86" s="233">
        <f>F86-E86</f>
        <v>66997.40000000026</v>
      </c>
      <c r="H86" s="234">
        <f>F86/E86*100</f>
        <v>112.49164775087456</v>
      </c>
      <c r="I86" s="235">
        <f>F86-D86</f>
        <v>-307780.6299999998</v>
      </c>
      <c r="J86" s="235">
        <f>F86/D86*100</f>
        <v>66.21936557775986</v>
      </c>
      <c r="K86" s="235">
        <f>K64+K85</f>
        <v>391575.74</v>
      </c>
      <c r="L86" s="235">
        <f>F86-K86</f>
        <v>211759.2300000002</v>
      </c>
      <c r="M86" s="269">
        <f>F86/K86</f>
        <v>1.5407874093527862</v>
      </c>
      <c r="N86" s="233">
        <f>N64+N85</f>
        <v>84009.00000000003</v>
      </c>
      <c r="O86" s="233">
        <f>O64+O85</f>
        <v>92278</v>
      </c>
      <c r="P86" s="235">
        <f t="shared" si="29"/>
        <v>8268.99999999997</v>
      </c>
      <c r="Q86" s="235">
        <f>O86/N86*100</f>
        <v>109.84299301265337</v>
      </c>
      <c r="R86" s="28">
        <f>O86-42872.96</f>
        <v>49405.04</v>
      </c>
      <c r="S86" s="101">
        <f>O86/42872.96</f>
        <v>2.152358969383033</v>
      </c>
      <c r="T86" s="186">
        <f t="shared" si="30"/>
        <v>374778.03</v>
      </c>
    </row>
    <row r="87" spans="2:20" ht="15">
      <c r="B87" s="20" t="s">
        <v>35</v>
      </c>
      <c r="O87" s="26"/>
      <c r="T87" s="186">
        <f t="shared" si="30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30"/>
        <v>#VALUE!</v>
      </c>
    </row>
    <row r="89" spans="2:20" ht="30.75">
      <c r="B89" s="57" t="s">
        <v>54</v>
      </c>
      <c r="C89" s="31">
        <f>IF(P64&lt;0,ABS(P64/C88),0)</f>
        <v>0</v>
      </c>
      <c r="D89" s="4" t="s">
        <v>24</v>
      </c>
      <c r="G89" s="439"/>
      <c r="H89" s="439"/>
      <c r="I89" s="439"/>
      <c r="J89" s="439"/>
      <c r="K89" s="90"/>
      <c r="L89" s="90"/>
      <c r="M89" s="90"/>
      <c r="Q89" s="26"/>
      <c r="R89" s="26"/>
      <c r="T89" s="186" t="e">
        <f t="shared" si="30"/>
        <v>#VALUE!</v>
      </c>
    </row>
    <row r="90" spans="2:20" ht="34.5" customHeight="1">
      <c r="B90" s="58" t="s">
        <v>56</v>
      </c>
      <c r="C90" s="87">
        <v>42580</v>
      </c>
      <c r="D90" s="31">
        <v>10337.3</v>
      </c>
      <c r="G90" s="4" t="s">
        <v>59</v>
      </c>
      <c r="O90" s="440"/>
      <c r="P90" s="440"/>
      <c r="T90" s="186">
        <f t="shared" si="30"/>
        <v>10337.3</v>
      </c>
    </row>
    <row r="91" spans="3:16" ht="15">
      <c r="C91" s="87">
        <v>42579</v>
      </c>
      <c r="D91" s="31">
        <v>10816</v>
      </c>
      <c r="F91" s="124" t="s">
        <v>59</v>
      </c>
      <c r="G91" s="441"/>
      <c r="H91" s="441"/>
      <c r="I91" s="131"/>
      <c r="J91" s="442"/>
      <c r="K91" s="442"/>
      <c r="L91" s="442"/>
      <c r="M91" s="442"/>
      <c r="N91" s="442"/>
      <c r="O91" s="440"/>
      <c r="P91" s="440"/>
    </row>
    <row r="92" spans="3:16" ht="15.75" customHeight="1">
      <c r="C92" s="87">
        <v>42578</v>
      </c>
      <c r="D92" s="31">
        <v>8357.1</v>
      </c>
      <c r="F92" s="73"/>
      <c r="G92" s="441"/>
      <c r="H92" s="441"/>
      <c r="I92" s="131"/>
      <c r="J92" s="443"/>
      <c r="K92" s="443"/>
      <c r="L92" s="443"/>
      <c r="M92" s="443"/>
      <c r="N92" s="443"/>
      <c r="O92" s="440"/>
      <c r="P92" s="440"/>
    </row>
    <row r="93" spans="3:14" ht="15.75" customHeight="1">
      <c r="C93" s="87"/>
      <c r="F93" s="73"/>
      <c r="G93" s="447"/>
      <c r="H93" s="447"/>
      <c r="I93" s="139"/>
      <c r="J93" s="442"/>
      <c r="K93" s="442"/>
      <c r="L93" s="442"/>
      <c r="M93" s="442"/>
      <c r="N93" s="442"/>
    </row>
    <row r="94" spans="2:14" ht="18.75" customHeight="1">
      <c r="B94" s="448" t="s">
        <v>57</v>
      </c>
      <c r="C94" s="449"/>
      <c r="D94" s="148">
        <v>14372.98265</v>
      </c>
      <c r="E94" s="74"/>
      <c r="F94" s="140" t="s">
        <v>137</v>
      </c>
      <c r="G94" s="441"/>
      <c r="H94" s="441"/>
      <c r="I94" s="141"/>
      <c r="J94" s="442"/>
      <c r="K94" s="442"/>
      <c r="L94" s="442"/>
      <c r="M94" s="442"/>
      <c r="N94" s="442"/>
    </row>
    <row r="95" spans="6:13" ht="9.75" customHeight="1" hidden="1">
      <c r="F95" s="73"/>
      <c r="G95" s="441"/>
      <c r="H95" s="441"/>
      <c r="I95" s="73"/>
      <c r="J95" s="74"/>
      <c r="K95" s="74"/>
      <c r="L95" s="74"/>
      <c r="M95" s="74"/>
    </row>
    <row r="96" spans="2:13" ht="22.5" customHeight="1" hidden="1">
      <c r="B96" s="444" t="s">
        <v>60</v>
      </c>
      <c r="C96" s="445"/>
      <c r="D96" s="86">
        <v>0</v>
      </c>
      <c r="E96" s="56" t="s">
        <v>24</v>
      </c>
      <c r="F96" s="73"/>
      <c r="G96" s="441"/>
      <c r="H96" s="441"/>
      <c r="I96" s="73"/>
      <c r="J96" s="74"/>
      <c r="K96" s="74"/>
      <c r="L96" s="74"/>
      <c r="M96" s="74"/>
    </row>
    <row r="97" spans="4:16" ht="15" hidden="1">
      <c r="D97" s="73">
        <f>D45+D48+D49</f>
        <v>1640</v>
      </c>
      <c r="E97" s="73">
        <f>E45+E48+E49</f>
        <v>722</v>
      </c>
      <c r="F97" s="247">
        <f>F45+F48+F49</f>
        <v>374.3</v>
      </c>
      <c r="G97" s="73">
        <f>G45+G48+G49</f>
        <v>-347.7</v>
      </c>
      <c r="H97" s="74"/>
      <c r="I97" s="74"/>
      <c r="N97" s="31">
        <f>N45+N48+N49</f>
        <v>12</v>
      </c>
      <c r="O97" s="246">
        <f>O45+O48+O49</f>
        <v>128.76</v>
      </c>
      <c r="P97" s="31">
        <f>P45+P48+P49</f>
        <v>116.75999999999999</v>
      </c>
    </row>
    <row r="98" spans="4:16" ht="15">
      <c r="D98" s="83"/>
      <c r="I98" s="31"/>
      <c r="O98" s="446"/>
      <c r="P98" s="446"/>
    </row>
    <row r="99" spans="15:16" ht="15">
      <c r="O99" s="441"/>
      <c r="P99" s="441"/>
    </row>
    <row r="100" ht="15">
      <c r="O100" s="31"/>
    </row>
    <row r="103" ht="15">
      <c r="E103" s="4" t="s">
        <v>59</v>
      </c>
    </row>
  </sheetData>
  <sheetProtection/>
  <mergeCells count="38"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1" zoomScaleNormal="81" zoomScalePageLayoutView="0" workbookViewId="0" topLeftCell="B1">
      <pane xSplit="2" ySplit="8" topLeftCell="D5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60" sqref="F6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2.62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52" t="s">
        <v>177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274"/>
      <c r="R1" s="275"/>
    </row>
    <row r="2" spans="1:18" s="1" customFormat="1" ht="21" customHeight="1">
      <c r="A2" s="276"/>
      <c r="B2" s="277"/>
      <c r="C2" s="277"/>
      <c r="D2" s="277"/>
      <c r="E2" s="278"/>
      <c r="F2" s="279"/>
      <c r="G2" s="278"/>
      <c r="H2" s="278"/>
      <c r="I2" s="280"/>
      <c r="J2" s="278"/>
      <c r="K2" s="276"/>
      <c r="L2" s="276"/>
      <c r="M2" s="276" t="s">
        <v>176</v>
      </c>
      <c r="N2" s="276"/>
      <c r="O2" s="276"/>
      <c r="P2" s="281" t="s">
        <v>24</v>
      </c>
      <c r="Q2" s="281"/>
      <c r="R2" s="282"/>
    </row>
    <row r="3" spans="1:18" s="3" customFormat="1" ht="13.5" customHeight="1">
      <c r="A3" s="415"/>
      <c r="B3" s="417"/>
      <c r="C3" s="418" t="s">
        <v>0</v>
      </c>
      <c r="D3" s="419" t="s">
        <v>121</v>
      </c>
      <c r="E3" s="34"/>
      <c r="F3" s="420" t="s">
        <v>26</v>
      </c>
      <c r="G3" s="421"/>
      <c r="H3" s="421"/>
      <c r="I3" s="421"/>
      <c r="J3" s="422"/>
      <c r="K3" s="89"/>
      <c r="L3" s="89"/>
      <c r="M3" s="423" t="s">
        <v>172</v>
      </c>
      <c r="N3" s="435" t="s">
        <v>173</v>
      </c>
      <c r="O3" s="435"/>
      <c r="P3" s="435"/>
      <c r="Q3" s="435"/>
      <c r="R3" s="435"/>
    </row>
    <row r="4" spans="1:18" ht="22.5" customHeight="1">
      <c r="A4" s="415"/>
      <c r="B4" s="417"/>
      <c r="C4" s="418"/>
      <c r="D4" s="419"/>
      <c r="E4" s="427" t="s">
        <v>170</v>
      </c>
      <c r="F4" s="450" t="s">
        <v>34</v>
      </c>
      <c r="G4" s="431" t="s">
        <v>171</v>
      </c>
      <c r="H4" s="424" t="s">
        <v>175</v>
      </c>
      <c r="I4" s="431" t="s">
        <v>122</v>
      </c>
      <c r="J4" s="424" t="s">
        <v>123</v>
      </c>
      <c r="K4" s="248" t="s">
        <v>65</v>
      </c>
      <c r="L4" s="283" t="s">
        <v>64</v>
      </c>
      <c r="M4" s="424"/>
      <c r="N4" s="433" t="s">
        <v>178</v>
      </c>
      <c r="O4" s="431" t="s">
        <v>50</v>
      </c>
      <c r="P4" s="435" t="s">
        <v>49</v>
      </c>
      <c r="Q4" s="284" t="s">
        <v>65</v>
      </c>
      <c r="R4" s="285" t="s">
        <v>64</v>
      </c>
    </row>
    <row r="5" spans="1:18" ht="67.5" customHeight="1">
      <c r="A5" s="416"/>
      <c r="B5" s="417"/>
      <c r="C5" s="418"/>
      <c r="D5" s="419"/>
      <c r="E5" s="428"/>
      <c r="F5" s="451"/>
      <c r="G5" s="432"/>
      <c r="H5" s="425"/>
      <c r="I5" s="432"/>
      <c r="J5" s="425"/>
      <c r="K5" s="436" t="s">
        <v>174</v>
      </c>
      <c r="L5" s="438"/>
      <c r="M5" s="425"/>
      <c r="N5" s="434"/>
      <c r="O5" s="432"/>
      <c r="P5" s="435"/>
      <c r="Q5" s="436" t="s">
        <v>120</v>
      </c>
      <c r="R5" s="43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394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394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286" t="s">
        <v>10</v>
      </c>
      <c r="D8" s="287">
        <f>D9+D15+D18+D19+D20+D36+D17</f>
        <v>841050</v>
      </c>
      <c r="E8" s="287">
        <f>E9+E15+E18+E19+E20+E36+E17</f>
        <v>420235.77999999997</v>
      </c>
      <c r="F8" s="395">
        <f>F9+F15+F18+F19+F20+F36+F17</f>
        <v>465511.43</v>
      </c>
      <c r="G8" s="287">
        <f aca="true" t="shared" si="0" ref="G8:G36">F8-E8</f>
        <v>45275.65000000002</v>
      </c>
      <c r="H8" s="288">
        <f>F8/E8*100</f>
        <v>110.77386842215103</v>
      </c>
      <c r="I8" s="289">
        <f>F8-D8</f>
        <v>-375538.57</v>
      </c>
      <c r="J8" s="289">
        <f>F8/D8*100</f>
        <v>55.348841329290764</v>
      </c>
      <c r="K8" s="287">
        <f>F8-305119.12</f>
        <v>160392.31</v>
      </c>
      <c r="L8" s="287">
        <f>F8/305119.12*100</f>
        <v>152.56711214951068</v>
      </c>
      <c r="M8" s="287">
        <f>M9+M15+M18+M19+M20+M17</f>
        <v>67799.29999999999</v>
      </c>
      <c r="N8" s="287">
        <f>N9+N15+N18+N19+N20+N17</f>
        <v>90516.48000000001</v>
      </c>
      <c r="O8" s="287">
        <f>N8-M8</f>
        <v>22717.180000000022</v>
      </c>
      <c r="P8" s="287">
        <f>N8/M8*100</f>
        <v>133.50651112917097</v>
      </c>
      <c r="Q8" s="290" t="e">
        <f>#N/A</f>
        <v>#N/A</v>
      </c>
      <c r="R8" s="290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291">
        <v>459700</v>
      </c>
      <c r="E9" s="291">
        <v>223904.27</v>
      </c>
      <c r="F9" s="396">
        <v>261442.54</v>
      </c>
      <c r="G9" s="291">
        <f t="shared" si="0"/>
        <v>37538.27000000002</v>
      </c>
      <c r="H9" s="292">
        <f>F9/E9*100</f>
        <v>116.7653211794487</v>
      </c>
      <c r="I9" s="293">
        <f>F9-D9</f>
        <v>-198257.46</v>
      </c>
      <c r="J9" s="293">
        <f>F9/D9*100</f>
        <v>56.87242549488797</v>
      </c>
      <c r="K9" s="294">
        <f>F9-171379.72</f>
        <v>90062.82</v>
      </c>
      <c r="L9" s="294">
        <f>F9/171379.72*100</f>
        <v>152.55162046011046</v>
      </c>
      <c r="M9" s="292">
        <f>E9-травень!E9</f>
        <v>41002</v>
      </c>
      <c r="N9" s="295">
        <f>F9-травень!F9</f>
        <v>62341.619999999995</v>
      </c>
      <c r="O9" s="296">
        <f>N9-M9</f>
        <v>21339.619999999995</v>
      </c>
      <c r="P9" s="293">
        <f>N9/M9*100</f>
        <v>152.04531486268962</v>
      </c>
      <c r="Q9" s="297"/>
      <c r="R9" s="298"/>
    </row>
    <row r="10" spans="1:18" s="6" customFormat="1" ht="18" hidden="1">
      <c r="A10" s="8"/>
      <c r="B10" s="136" t="s">
        <v>93</v>
      </c>
      <c r="C10" s="108">
        <v>11010100</v>
      </c>
      <c r="D10" s="299">
        <v>411440</v>
      </c>
      <c r="E10" s="299">
        <v>199295.84</v>
      </c>
      <c r="F10" s="397">
        <v>231268.41</v>
      </c>
      <c r="G10" s="299">
        <f t="shared" si="0"/>
        <v>31972.570000000007</v>
      </c>
      <c r="H10" s="301">
        <f aca="true" t="shared" si="1" ref="H10:H35">F10/E10*100</f>
        <v>116.04276837890846</v>
      </c>
      <c r="I10" s="302">
        <f aca="true" t="shared" si="2" ref="I10:I36">F10-D10</f>
        <v>-180171.59</v>
      </c>
      <c r="J10" s="302">
        <f aca="true" t="shared" si="3" ref="J10:J35">F10/D10*100</f>
        <v>56.20951049970834</v>
      </c>
      <c r="K10" s="303">
        <f>F10-152226.9</f>
        <v>79041.51000000001</v>
      </c>
      <c r="L10" s="303">
        <f>F10/152226.9*100</f>
        <v>151.92348395717184</v>
      </c>
      <c r="M10" s="300">
        <f>E10-травень!E10</f>
        <v>37450</v>
      </c>
      <c r="N10" s="304">
        <f>F10-травень!F10</f>
        <v>57100.080000000016</v>
      </c>
      <c r="O10" s="303">
        <f aca="true" t="shared" si="4" ref="O10:O36">N10-M10</f>
        <v>19650.080000000016</v>
      </c>
      <c r="P10" s="293">
        <f aca="true" t="shared" si="5" ref="P10:P16">N10/M10*100</f>
        <v>152.47017356475305</v>
      </c>
      <c r="Q10" s="305"/>
      <c r="R10" s="306"/>
    </row>
    <row r="11" spans="1:18" s="6" customFormat="1" ht="18" hidden="1">
      <c r="A11" s="8"/>
      <c r="B11" s="136" t="s">
        <v>89</v>
      </c>
      <c r="C11" s="108">
        <v>11010200</v>
      </c>
      <c r="D11" s="299">
        <v>23000</v>
      </c>
      <c r="E11" s="299">
        <v>14164.94</v>
      </c>
      <c r="F11" s="397">
        <v>18032.25</v>
      </c>
      <c r="G11" s="299">
        <f t="shared" si="0"/>
        <v>3867.3099999999995</v>
      </c>
      <c r="H11" s="301">
        <f t="shared" si="1"/>
        <v>127.30198645387838</v>
      </c>
      <c r="I11" s="302">
        <f t="shared" si="2"/>
        <v>-4967.75</v>
      </c>
      <c r="J11" s="302">
        <f t="shared" si="3"/>
        <v>78.40108695652174</v>
      </c>
      <c r="K11" s="303">
        <f>F11-9213.1</f>
        <v>8819.15</v>
      </c>
      <c r="L11" s="303">
        <f>F11/9213.1*100</f>
        <v>195.72402340146095</v>
      </c>
      <c r="M11" s="300">
        <f>E11-травень!E11</f>
        <v>1600</v>
      </c>
      <c r="N11" s="304">
        <f>F11-травень!F11</f>
        <v>3353</v>
      </c>
      <c r="O11" s="303">
        <f t="shared" si="4"/>
        <v>1753</v>
      </c>
      <c r="P11" s="293">
        <f t="shared" si="5"/>
        <v>209.5625</v>
      </c>
      <c r="Q11" s="305"/>
      <c r="R11" s="306"/>
    </row>
    <row r="12" spans="1:18" s="6" customFormat="1" ht="18" hidden="1">
      <c r="A12" s="8"/>
      <c r="B12" s="136" t="s">
        <v>92</v>
      </c>
      <c r="C12" s="108">
        <v>11010400</v>
      </c>
      <c r="D12" s="299">
        <v>6500</v>
      </c>
      <c r="E12" s="299">
        <v>2720.61</v>
      </c>
      <c r="F12" s="397">
        <v>5288.66</v>
      </c>
      <c r="G12" s="299">
        <f t="shared" si="0"/>
        <v>2568.0499999999997</v>
      </c>
      <c r="H12" s="301">
        <f t="shared" si="1"/>
        <v>194.39243404971677</v>
      </c>
      <c r="I12" s="302">
        <f t="shared" si="2"/>
        <v>-1211.3400000000001</v>
      </c>
      <c r="J12" s="302">
        <f t="shared" si="3"/>
        <v>81.364</v>
      </c>
      <c r="K12" s="303">
        <f>F12-2592.53</f>
        <v>2696.1299999999997</v>
      </c>
      <c r="L12" s="303">
        <f>F12/2592.53*100</f>
        <v>203.99609647718634</v>
      </c>
      <c r="M12" s="300">
        <f>E12-травень!E12</f>
        <v>500</v>
      </c>
      <c r="N12" s="304">
        <f>F12-травень!F12</f>
        <v>705.4300000000003</v>
      </c>
      <c r="O12" s="303">
        <f t="shared" si="4"/>
        <v>205.4300000000003</v>
      </c>
      <c r="P12" s="293">
        <f t="shared" si="5"/>
        <v>141.08600000000007</v>
      </c>
      <c r="Q12" s="305"/>
      <c r="R12" s="306"/>
    </row>
    <row r="13" spans="1:18" s="6" customFormat="1" ht="18" hidden="1">
      <c r="A13" s="8"/>
      <c r="B13" s="136" t="s">
        <v>90</v>
      </c>
      <c r="C13" s="108">
        <v>11010500</v>
      </c>
      <c r="D13" s="299">
        <v>12400</v>
      </c>
      <c r="E13" s="299">
        <v>4584.84</v>
      </c>
      <c r="F13" s="397">
        <v>4452.61</v>
      </c>
      <c r="G13" s="299">
        <f t="shared" si="0"/>
        <v>-132.23000000000047</v>
      </c>
      <c r="H13" s="301">
        <f t="shared" si="1"/>
        <v>97.11592989068319</v>
      </c>
      <c r="I13" s="302">
        <f t="shared" si="2"/>
        <v>-7947.39</v>
      </c>
      <c r="J13" s="302">
        <f t="shared" si="3"/>
        <v>35.90814516129032</v>
      </c>
      <c r="K13" s="303">
        <f>F13-2783.41</f>
        <v>1669.1999999999998</v>
      </c>
      <c r="L13" s="303">
        <f>F13/2783.41*100</f>
        <v>159.96960562762942</v>
      </c>
      <c r="M13" s="300">
        <f>E13-травень!E13</f>
        <v>820</v>
      </c>
      <c r="N13" s="304">
        <f>F13-травень!F13</f>
        <v>689.1699999999996</v>
      </c>
      <c r="O13" s="303">
        <f t="shared" si="4"/>
        <v>-130.83000000000038</v>
      </c>
      <c r="P13" s="293">
        <f t="shared" si="5"/>
        <v>84.04512195121947</v>
      </c>
      <c r="Q13" s="305"/>
      <c r="R13" s="306"/>
    </row>
    <row r="14" spans="1:18" s="6" customFormat="1" ht="18" hidden="1">
      <c r="A14" s="8"/>
      <c r="B14" s="136" t="s">
        <v>91</v>
      </c>
      <c r="C14" s="108">
        <v>11010900</v>
      </c>
      <c r="D14" s="299">
        <v>6360</v>
      </c>
      <c r="E14" s="299">
        <v>3138.04</v>
      </c>
      <c r="F14" s="397">
        <v>2400.61</v>
      </c>
      <c r="G14" s="299">
        <f t="shared" si="0"/>
        <v>-737.4299999999998</v>
      </c>
      <c r="H14" s="301">
        <f t="shared" si="1"/>
        <v>76.50029955003761</v>
      </c>
      <c r="I14" s="302">
        <f t="shared" si="2"/>
        <v>-3959.39</v>
      </c>
      <c r="J14" s="302">
        <f t="shared" si="3"/>
        <v>37.745440251572326</v>
      </c>
      <c r="K14" s="303">
        <f>F14-4563.77</f>
        <v>-2163.1600000000003</v>
      </c>
      <c r="L14" s="303">
        <f>F14/4563.77*100</f>
        <v>52.60146764626613</v>
      </c>
      <c r="M14" s="300">
        <f>E14-травень!E14</f>
        <v>632</v>
      </c>
      <c r="N14" s="304">
        <f>F14-травень!F14</f>
        <v>493.93000000000006</v>
      </c>
      <c r="O14" s="303">
        <f t="shared" si="4"/>
        <v>-138.06999999999994</v>
      </c>
      <c r="P14" s="293">
        <f t="shared" si="5"/>
        <v>78.15348101265823</v>
      </c>
      <c r="Q14" s="305"/>
      <c r="R14" s="306"/>
    </row>
    <row r="15" spans="1:18" s="6" customFormat="1" ht="30.75">
      <c r="A15" s="8"/>
      <c r="B15" s="12" t="s">
        <v>11</v>
      </c>
      <c r="C15" s="48">
        <v>11020200</v>
      </c>
      <c r="D15" s="291">
        <v>500</v>
      </c>
      <c r="E15" s="291">
        <v>240</v>
      </c>
      <c r="F15" s="396">
        <v>309.24</v>
      </c>
      <c r="G15" s="291">
        <f t="shared" si="0"/>
        <v>69.24000000000001</v>
      </c>
      <c r="H15" s="292">
        <f>F15/E15*100</f>
        <v>128.85</v>
      </c>
      <c r="I15" s="293">
        <f t="shared" si="2"/>
        <v>-190.76</v>
      </c>
      <c r="J15" s="293">
        <f t="shared" si="3"/>
        <v>61.848000000000006</v>
      </c>
      <c r="K15" s="296">
        <f>F15-(-858.14)</f>
        <v>1167.38</v>
      </c>
      <c r="L15" s="296">
        <f>F15/(-858.14)*100</f>
        <v>-36.036078029226005</v>
      </c>
      <c r="M15" s="292">
        <f>E15-травень!E15</f>
        <v>5</v>
      </c>
      <c r="N15" s="295">
        <f>F15-травень!F15</f>
        <v>0</v>
      </c>
      <c r="O15" s="296">
        <f t="shared" si="4"/>
        <v>-5</v>
      </c>
      <c r="P15" s="293">
        <f t="shared" si="5"/>
        <v>0</v>
      </c>
      <c r="Q15" s="305"/>
      <c r="R15" s="306"/>
    </row>
    <row r="16" spans="1:18" s="6" customFormat="1" ht="18" hidden="1">
      <c r="A16" s="8"/>
      <c r="B16" s="55" t="s">
        <v>67</v>
      </c>
      <c r="C16" s="108">
        <v>11010232</v>
      </c>
      <c r="D16" s="299">
        <v>0</v>
      </c>
      <c r="E16" s="299">
        <v>0</v>
      </c>
      <c r="F16" s="397">
        <v>0</v>
      </c>
      <c r="G16" s="307">
        <f t="shared" si="0"/>
        <v>0</v>
      </c>
      <c r="H16" s="301" t="e">
        <f t="shared" si="1"/>
        <v>#DIV/0!</v>
      </c>
      <c r="I16" s="305">
        <f t="shared" si="2"/>
        <v>0</v>
      </c>
      <c r="J16" s="305" t="e">
        <f t="shared" si="3"/>
        <v>#DIV/0!</v>
      </c>
      <c r="K16" s="303">
        <f>F16-(-381.9)</f>
        <v>381.9</v>
      </c>
      <c r="L16" s="303">
        <f>F16/(-381.9)*100</f>
        <v>0</v>
      </c>
      <c r="M16" s="292">
        <f>E16-травень!E16</f>
        <v>0</v>
      </c>
      <c r="N16" s="295">
        <f>F16-травень!F16</f>
        <v>0</v>
      </c>
      <c r="O16" s="308">
        <f t="shared" si="4"/>
        <v>0</v>
      </c>
      <c r="P16" s="293" t="e">
        <f t="shared" si="5"/>
        <v>#DIV/0!</v>
      </c>
      <c r="Q16" s="302">
        <f>N16-358.81</f>
        <v>-358.81</v>
      </c>
      <c r="R16" s="309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10">
        <v>0</v>
      </c>
      <c r="E17" s="310">
        <v>0</v>
      </c>
      <c r="F17" s="398">
        <v>0.17</v>
      </c>
      <c r="G17" s="310">
        <f t="shared" si="0"/>
        <v>0.17</v>
      </c>
      <c r="H17" s="311"/>
      <c r="I17" s="312">
        <f t="shared" si="2"/>
        <v>0.17</v>
      </c>
      <c r="J17" s="312"/>
      <c r="K17" s="313">
        <f>F17-0.09</f>
        <v>0.08000000000000002</v>
      </c>
      <c r="L17" s="314">
        <f>F17/0.09*100</f>
        <v>188.8888888888889</v>
      </c>
      <c r="M17" s="292">
        <f>E17-травень!E17</f>
        <v>0</v>
      </c>
      <c r="N17" s="295">
        <f>F17-травень!F17</f>
        <v>0</v>
      </c>
      <c r="O17" s="314">
        <f t="shared" si="4"/>
        <v>0</v>
      </c>
      <c r="P17" s="293"/>
      <c r="Q17" s="302"/>
      <c r="R17" s="309"/>
    </row>
    <row r="18" spans="1:18" s="6" customFormat="1" ht="30.75">
      <c r="A18" s="8"/>
      <c r="B18" s="13" t="s">
        <v>75</v>
      </c>
      <c r="C18" s="48">
        <v>13030200</v>
      </c>
      <c r="D18" s="291">
        <v>10</v>
      </c>
      <c r="E18" s="291">
        <v>10</v>
      </c>
      <c r="F18" s="396">
        <v>105.8</v>
      </c>
      <c r="G18" s="291">
        <f t="shared" si="0"/>
        <v>95.8</v>
      </c>
      <c r="H18" s="292">
        <f t="shared" si="1"/>
        <v>1058</v>
      </c>
      <c r="I18" s="293">
        <f t="shared" si="2"/>
        <v>95.8</v>
      </c>
      <c r="J18" s="293">
        <f t="shared" si="3"/>
        <v>1058</v>
      </c>
      <c r="K18" s="296">
        <f>F18-15.8</f>
        <v>90</v>
      </c>
      <c r="L18" s="296">
        <f>F18/15.8*100</f>
        <v>669.6202531645569</v>
      </c>
      <c r="M18" s="292">
        <f>E18-травень!E18</f>
        <v>0</v>
      </c>
      <c r="N18" s="295">
        <f>F18-травень!F18</f>
        <v>0</v>
      </c>
      <c r="O18" s="296">
        <f t="shared" si="4"/>
        <v>0</v>
      </c>
      <c r="P18" s="293"/>
      <c r="Q18" s="305"/>
      <c r="R18" s="306"/>
    </row>
    <row r="19" spans="1:18" s="6" customFormat="1" ht="46.5">
      <c r="A19" s="8"/>
      <c r="B19" s="49" t="s">
        <v>74</v>
      </c>
      <c r="C19" s="48">
        <v>14040000</v>
      </c>
      <c r="D19" s="291">
        <v>109900</v>
      </c>
      <c r="E19" s="291">
        <v>47860.4</v>
      </c>
      <c r="F19" s="396">
        <v>44512.02</v>
      </c>
      <c r="G19" s="291">
        <f t="shared" si="0"/>
        <v>-3348.3800000000047</v>
      </c>
      <c r="H19" s="292">
        <f t="shared" si="1"/>
        <v>93.00386122974315</v>
      </c>
      <c r="I19" s="293">
        <f t="shared" si="2"/>
        <v>-65387.98</v>
      </c>
      <c r="J19" s="293">
        <f t="shared" si="3"/>
        <v>40.50229299363057</v>
      </c>
      <c r="K19" s="315">
        <f>F19-30116.49</f>
        <v>14395.529999999995</v>
      </c>
      <c r="L19" s="315">
        <f>F19/30116.49*100</f>
        <v>147.79949456261335</v>
      </c>
      <c r="M19" s="292">
        <f>E19-травень!E19</f>
        <v>9800</v>
      </c>
      <c r="N19" s="295">
        <f>F19-травень!F19</f>
        <v>9281.46</v>
      </c>
      <c r="O19" s="296">
        <f t="shared" si="4"/>
        <v>-518.5400000000009</v>
      </c>
      <c r="P19" s="293">
        <f aca="true" t="shared" si="6" ref="P19:P24">N19/M19*100</f>
        <v>94.70877551020406</v>
      </c>
      <c r="Q19" s="316"/>
      <c r="R19" s="317"/>
    </row>
    <row r="20" spans="1:18" s="6" customFormat="1" ht="18">
      <c r="A20" s="8"/>
      <c r="B20" s="130" t="s">
        <v>76</v>
      </c>
      <c r="C20" s="48">
        <v>18000000</v>
      </c>
      <c r="D20" s="291">
        <f>D21+D29+D31</f>
        <v>270940</v>
      </c>
      <c r="E20" s="291">
        <f>E21+E29+E31</f>
        <v>148221.11</v>
      </c>
      <c r="F20" s="399">
        <f>F21+F29+F31+F30</f>
        <v>159141.66</v>
      </c>
      <c r="G20" s="291">
        <f t="shared" si="0"/>
        <v>10920.550000000017</v>
      </c>
      <c r="H20" s="292">
        <f t="shared" si="1"/>
        <v>107.36774269198229</v>
      </c>
      <c r="I20" s="293">
        <f t="shared" si="2"/>
        <v>-111798.34</v>
      </c>
      <c r="J20" s="293">
        <f t="shared" si="3"/>
        <v>58.73686425038754</v>
      </c>
      <c r="K20" s="293">
        <f>F20-100444.36</f>
        <v>58697.3</v>
      </c>
      <c r="L20" s="293">
        <f>F20/100444.36*100</f>
        <v>158.4376265626064</v>
      </c>
      <c r="M20" s="292">
        <f>M21+M29+M30+M31</f>
        <v>16992.299999999985</v>
      </c>
      <c r="N20" s="295">
        <f>F20-травень!F20</f>
        <v>18893.400000000023</v>
      </c>
      <c r="O20" s="296">
        <f t="shared" si="4"/>
        <v>1901.1000000000386</v>
      </c>
      <c r="P20" s="293">
        <f t="shared" si="6"/>
        <v>111.18800868628756</v>
      </c>
      <c r="Q20" s="316"/>
      <c r="R20" s="317"/>
    </row>
    <row r="21" spans="1:18" s="6" customFormat="1" ht="18">
      <c r="A21" s="8"/>
      <c r="B21" s="49" t="s">
        <v>84</v>
      </c>
      <c r="C21" s="127">
        <v>18010000</v>
      </c>
      <c r="D21" s="291">
        <f>D22+D25+D26</f>
        <v>161400</v>
      </c>
      <c r="E21" s="291">
        <f>E22+E25+E26</f>
        <v>78143.36</v>
      </c>
      <c r="F21" s="400">
        <f>F22+F25+F26</f>
        <v>85994.39</v>
      </c>
      <c r="G21" s="291">
        <f t="shared" si="0"/>
        <v>7851.029999999999</v>
      </c>
      <c r="H21" s="292">
        <f t="shared" si="1"/>
        <v>110.04695728466245</v>
      </c>
      <c r="I21" s="293">
        <f t="shared" si="2"/>
        <v>-75405.61</v>
      </c>
      <c r="J21" s="293">
        <f t="shared" si="3"/>
        <v>53.280291201982656</v>
      </c>
      <c r="K21" s="293">
        <f>F21-54757.32</f>
        <v>31237.07</v>
      </c>
      <c r="L21" s="293">
        <f>F21/54757.32*100</f>
        <v>157.04638210927783</v>
      </c>
      <c r="M21" s="292">
        <f>M22+M25+M26</f>
        <v>13047.099999999999</v>
      </c>
      <c r="N21" s="295">
        <f>F21-травень!F21</f>
        <v>14454.25</v>
      </c>
      <c r="O21" s="296">
        <f t="shared" si="4"/>
        <v>1407.1500000000015</v>
      </c>
      <c r="P21" s="293">
        <f t="shared" si="6"/>
        <v>110.7851553218723</v>
      </c>
      <c r="Q21" s="316"/>
      <c r="R21" s="317"/>
    </row>
    <row r="22" spans="1:20" s="6" customFormat="1" ht="18">
      <c r="A22" s="8"/>
      <c r="B22" s="55" t="s">
        <v>77</v>
      </c>
      <c r="C22" s="138"/>
      <c r="D22" s="318">
        <v>18500</v>
      </c>
      <c r="E22" s="318">
        <v>8611.6</v>
      </c>
      <c r="F22" s="401">
        <v>9233.59</v>
      </c>
      <c r="G22" s="318">
        <f t="shared" si="0"/>
        <v>621.9899999999998</v>
      </c>
      <c r="H22" s="319">
        <f t="shared" si="1"/>
        <v>107.2226996144735</v>
      </c>
      <c r="I22" s="320">
        <f t="shared" si="2"/>
        <v>-9266.41</v>
      </c>
      <c r="J22" s="320">
        <f t="shared" si="3"/>
        <v>49.911297297297295</v>
      </c>
      <c r="K22" s="321">
        <f>F22-4957.1</f>
        <v>4276.49</v>
      </c>
      <c r="L22" s="321">
        <f>F22/4957.1*100</f>
        <v>186.26999657057553</v>
      </c>
      <c r="M22" s="319">
        <f>E22-травень!E22</f>
        <v>240</v>
      </c>
      <c r="N22" s="322">
        <f>F22-травень!F22</f>
        <v>593.4400000000005</v>
      </c>
      <c r="O22" s="323">
        <f t="shared" si="4"/>
        <v>353.4400000000005</v>
      </c>
      <c r="P22" s="320">
        <f t="shared" si="6"/>
        <v>247.26666666666688</v>
      </c>
      <c r="Q22" s="316"/>
      <c r="R22" s="317"/>
      <c r="T22" s="186"/>
    </row>
    <row r="23" spans="1:20" s="6" customFormat="1" ht="22.5" customHeight="1" hidden="1">
      <c r="A23" s="8"/>
      <c r="B23" s="237" t="s">
        <v>164</v>
      </c>
      <c r="C23" s="238"/>
      <c r="D23" s="324">
        <v>2000</v>
      </c>
      <c r="E23" s="324">
        <v>389.1</v>
      </c>
      <c r="F23" s="398">
        <v>342.1</v>
      </c>
      <c r="G23" s="324">
        <f t="shared" si="0"/>
        <v>-47</v>
      </c>
      <c r="H23" s="325">
        <f t="shared" si="1"/>
        <v>87.92084297095862</v>
      </c>
      <c r="I23" s="326">
        <f t="shared" si="2"/>
        <v>-1657.9</v>
      </c>
      <c r="J23" s="326">
        <f t="shared" si="3"/>
        <v>17.105</v>
      </c>
      <c r="K23" s="327">
        <f>F23-284.18</f>
        <v>57.920000000000016</v>
      </c>
      <c r="L23" s="327">
        <f>F23/284.18*100</f>
        <v>120.38144837778873</v>
      </c>
      <c r="M23" s="328">
        <f>E23-травень!E23</f>
        <v>40</v>
      </c>
      <c r="N23" s="328">
        <f>F23-травень!F23</f>
        <v>78.45000000000005</v>
      </c>
      <c r="O23" s="329">
        <f t="shared" si="4"/>
        <v>38.450000000000045</v>
      </c>
      <c r="P23" s="329">
        <f t="shared" si="6"/>
        <v>196.1250000000001</v>
      </c>
      <c r="Q23" s="316"/>
      <c r="R23" s="317"/>
      <c r="T23" s="186"/>
    </row>
    <row r="24" spans="1:20" s="6" customFormat="1" ht="18" hidden="1">
      <c r="A24" s="8"/>
      <c r="B24" s="237" t="s">
        <v>165</v>
      </c>
      <c r="C24" s="238"/>
      <c r="D24" s="324">
        <v>16500</v>
      </c>
      <c r="E24" s="324">
        <v>8222.5</v>
      </c>
      <c r="F24" s="398">
        <v>8891.49</v>
      </c>
      <c r="G24" s="324">
        <f t="shared" si="0"/>
        <v>668.9899999999998</v>
      </c>
      <c r="H24" s="325">
        <f t="shared" si="1"/>
        <v>108.13608999695956</v>
      </c>
      <c r="I24" s="326">
        <f t="shared" si="2"/>
        <v>-7608.51</v>
      </c>
      <c r="J24" s="326">
        <f t="shared" si="3"/>
        <v>53.88781818181818</v>
      </c>
      <c r="K24" s="327">
        <f>F24-4672.92</f>
        <v>4218.57</v>
      </c>
      <c r="L24" s="327">
        <f>F24/4672.92*100</f>
        <v>190.27695744844763</v>
      </c>
      <c r="M24" s="328">
        <f>E24-травень!E24</f>
        <v>200</v>
      </c>
      <c r="N24" s="328">
        <f>F24-травень!F24</f>
        <v>514.9899999999998</v>
      </c>
      <c r="O24" s="329">
        <f t="shared" si="4"/>
        <v>314.9899999999998</v>
      </c>
      <c r="P24" s="329">
        <f t="shared" si="6"/>
        <v>257.4949999999999</v>
      </c>
      <c r="Q24" s="316"/>
      <c r="R24" s="317"/>
      <c r="T24" s="186"/>
    </row>
    <row r="25" spans="1:18" s="6" customFormat="1" ht="18">
      <c r="A25" s="8"/>
      <c r="B25" s="55" t="s">
        <v>78</v>
      </c>
      <c r="C25" s="138"/>
      <c r="D25" s="318">
        <v>2800</v>
      </c>
      <c r="E25" s="318">
        <v>276.84</v>
      </c>
      <c r="F25" s="401">
        <v>435.05</v>
      </c>
      <c r="G25" s="318">
        <f t="shared" si="0"/>
        <v>158.21000000000004</v>
      </c>
      <c r="H25" s="319">
        <f t="shared" si="1"/>
        <v>157.1485334489236</v>
      </c>
      <c r="I25" s="320">
        <f t="shared" si="2"/>
        <v>-2364.95</v>
      </c>
      <c r="J25" s="320">
        <f t="shared" si="3"/>
        <v>15.537500000000001</v>
      </c>
      <c r="K25" s="320">
        <f>F25-210.68</f>
        <v>224.37</v>
      </c>
      <c r="L25" s="320">
        <f>F25/210.68*100</f>
        <v>206.49800645528762</v>
      </c>
      <c r="M25" s="319">
        <f>E25-травень!E25</f>
        <v>0</v>
      </c>
      <c r="N25" s="322">
        <f>F25-травень!F25</f>
        <v>14.970000000000027</v>
      </c>
      <c r="O25" s="323">
        <f t="shared" si="4"/>
        <v>14.970000000000027</v>
      </c>
      <c r="P25" s="320"/>
      <c r="Q25" s="316"/>
      <c r="R25" s="317"/>
    </row>
    <row r="26" spans="1:18" s="6" customFormat="1" ht="18">
      <c r="A26" s="8"/>
      <c r="B26" s="55" t="s">
        <v>79</v>
      </c>
      <c r="C26" s="138"/>
      <c r="D26" s="318">
        <v>140100</v>
      </c>
      <c r="E26" s="318">
        <v>69254.92</v>
      </c>
      <c r="F26" s="401">
        <v>76325.75</v>
      </c>
      <c r="G26" s="318">
        <f t="shared" si="0"/>
        <v>7070.830000000002</v>
      </c>
      <c r="H26" s="319">
        <f t="shared" si="1"/>
        <v>110.2098594583605</v>
      </c>
      <c r="I26" s="320">
        <f t="shared" si="2"/>
        <v>-63774.25</v>
      </c>
      <c r="J26" s="320">
        <f t="shared" si="3"/>
        <v>54.4794789436117</v>
      </c>
      <c r="K26" s="321">
        <f>F26-49589.53</f>
        <v>26736.22</v>
      </c>
      <c r="L26" s="321">
        <f>F26/49589.53*100</f>
        <v>153.9150502132204</v>
      </c>
      <c r="M26" s="319">
        <f>E26-травень!E26</f>
        <v>12807.099999999999</v>
      </c>
      <c r="N26" s="322">
        <f>F26-травень!F26</f>
        <v>13845.839999999997</v>
      </c>
      <c r="O26" s="323">
        <f t="shared" si="4"/>
        <v>1038.739999999998</v>
      </c>
      <c r="P26" s="320">
        <f>N26/M26*100</f>
        <v>108.11065736974021</v>
      </c>
      <c r="Q26" s="316"/>
      <c r="R26" s="317"/>
    </row>
    <row r="27" spans="1:18" s="6" customFormat="1" ht="18" hidden="1">
      <c r="A27" s="8"/>
      <c r="B27" s="237" t="s">
        <v>166</v>
      </c>
      <c r="C27" s="238"/>
      <c r="D27" s="324">
        <v>38057</v>
      </c>
      <c r="E27" s="324">
        <v>19429.75</v>
      </c>
      <c r="F27" s="398">
        <v>23736.85</v>
      </c>
      <c r="G27" s="324">
        <f t="shared" si="0"/>
        <v>4307.0999999999985</v>
      </c>
      <c r="H27" s="325">
        <f t="shared" si="1"/>
        <v>122.16755233597961</v>
      </c>
      <c r="I27" s="326">
        <f t="shared" si="2"/>
        <v>-14320.150000000001</v>
      </c>
      <c r="J27" s="326">
        <f t="shared" si="3"/>
        <v>62.371836981370045</v>
      </c>
      <c r="K27" s="327">
        <f>F27-12926</f>
        <v>10810.849999999999</v>
      </c>
      <c r="L27" s="327">
        <f>F27/12926*100</f>
        <v>183.63646913198204</v>
      </c>
      <c r="M27" s="328">
        <f>E27-12724.05</f>
        <v>6705.700000000001</v>
      </c>
      <c r="N27" s="328">
        <f>F27-15205.9</f>
        <v>8530.949999999999</v>
      </c>
      <c r="O27" s="329">
        <f t="shared" si="4"/>
        <v>1825.2499999999982</v>
      </c>
      <c r="P27" s="329">
        <f>N27/M27*100</f>
        <v>127.2193805270143</v>
      </c>
      <c r="Q27" s="316"/>
      <c r="R27" s="317"/>
    </row>
    <row r="28" spans="1:18" s="6" customFormat="1" ht="18" hidden="1">
      <c r="A28" s="8"/>
      <c r="B28" s="237" t="s">
        <v>167</v>
      </c>
      <c r="C28" s="238"/>
      <c r="D28" s="324">
        <v>102043</v>
      </c>
      <c r="E28" s="324">
        <v>49825.17</v>
      </c>
      <c r="F28" s="398">
        <v>52588.89</v>
      </c>
      <c r="G28" s="324">
        <f t="shared" si="0"/>
        <v>2763.720000000001</v>
      </c>
      <c r="H28" s="325">
        <f t="shared" si="1"/>
        <v>105.54683506348297</v>
      </c>
      <c r="I28" s="326">
        <f t="shared" si="2"/>
        <v>-49454.11</v>
      </c>
      <c r="J28" s="326">
        <f t="shared" si="3"/>
        <v>51.53600932940034</v>
      </c>
      <c r="K28" s="327">
        <f>F28-36663.53</f>
        <v>15925.36</v>
      </c>
      <c r="L28" s="327">
        <f>F28/36663.53*100</f>
        <v>143.4365157964877</v>
      </c>
      <c r="M28" s="328">
        <f>E28-32053.77</f>
        <v>17771.399999999998</v>
      </c>
      <c r="N28" s="328">
        <f>F28-34030.56</f>
        <v>18558.33</v>
      </c>
      <c r="O28" s="329">
        <f t="shared" si="4"/>
        <v>786.9300000000039</v>
      </c>
      <c r="P28" s="329">
        <f>N28/M28*100</f>
        <v>104.42806982004798</v>
      </c>
      <c r="Q28" s="316"/>
      <c r="R28" s="317"/>
    </row>
    <row r="29" spans="1:18" s="6" customFormat="1" ht="18">
      <c r="A29" s="8"/>
      <c r="B29" s="49" t="s">
        <v>85</v>
      </c>
      <c r="C29" s="127">
        <v>18030000</v>
      </c>
      <c r="D29" s="291">
        <v>77</v>
      </c>
      <c r="E29" s="291">
        <v>35.71</v>
      </c>
      <c r="F29" s="396">
        <v>55.62</v>
      </c>
      <c r="G29" s="291">
        <f t="shared" si="0"/>
        <v>19.909999999999997</v>
      </c>
      <c r="H29" s="292">
        <f t="shared" si="1"/>
        <v>155.75469056286752</v>
      </c>
      <c r="I29" s="293">
        <f t="shared" si="2"/>
        <v>-21.380000000000003</v>
      </c>
      <c r="J29" s="293">
        <f t="shared" si="3"/>
        <v>72.23376623376623</v>
      </c>
      <c r="K29" s="293">
        <f>F29-37.42</f>
        <v>18.199999999999996</v>
      </c>
      <c r="L29" s="293">
        <f>F29/37.42*100</f>
        <v>148.63709246392304</v>
      </c>
      <c r="M29" s="292">
        <f>E29-травень!E29</f>
        <v>5.199999999999999</v>
      </c>
      <c r="N29" s="295">
        <f>F29-травень!F29</f>
        <v>4.479999999999997</v>
      </c>
      <c r="O29" s="296">
        <f t="shared" si="4"/>
        <v>-0.7200000000000024</v>
      </c>
      <c r="P29" s="293">
        <f>N29/M29*100</f>
        <v>86.1538461538461</v>
      </c>
      <c r="Q29" s="316"/>
      <c r="R29" s="317"/>
    </row>
    <row r="30" spans="1:18" s="6" customFormat="1" ht="49.5" customHeight="1">
      <c r="A30" s="8"/>
      <c r="B30" s="49" t="s">
        <v>86</v>
      </c>
      <c r="C30" s="127">
        <v>18040000</v>
      </c>
      <c r="D30" s="291"/>
      <c r="E30" s="291"/>
      <c r="F30" s="396">
        <v>-125.04</v>
      </c>
      <c r="G30" s="291">
        <f t="shared" si="0"/>
        <v>-125.04</v>
      </c>
      <c r="H30" s="292"/>
      <c r="I30" s="293">
        <f t="shared" si="2"/>
        <v>-125.04</v>
      </c>
      <c r="J30" s="293"/>
      <c r="K30" s="293">
        <f>F30-(-403.36)</f>
        <v>278.32</v>
      </c>
      <c r="L30" s="293">
        <f>F30/(-403.36)*100</f>
        <v>30.999603332011105</v>
      </c>
      <c r="M30" s="292">
        <f>E30-травень!E30</f>
        <v>0</v>
      </c>
      <c r="N30" s="295">
        <f>F30-травень!F30</f>
        <v>-15.320000000000007</v>
      </c>
      <c r="O30" s="296">
        <f t="shared" si="4"/>
        <v>-15.320000000000007</v>
      </c>
      <c r="P30" s="293"/>
      <c r="Q30" s="316"/>
      <c r="R30" s="317"/>
    </row>
    <row r="31" spans="1:18" s="6" customFormat="1" ht="18">
      <c r="A31" s="8"/>
      <c r="B31" s="49" t="s">
        <v>87</v>
      </c>
      <c r="C31" s="127">
        <v>18050000</v>
      </c>
      <c r="D31" s="310">
        <v>109463</v>
      </c>
      <c r="E31" s="310">
        <v>70042.04</v>
      </c>
      <c r="F31" s="398">
        <v>73216.69</v>
      </c>
      <c r="G31" s="310">
        <f t="shared" si="0"/>
        <v>3174.6500000000087</v>
      </c>
      <c r="H31" s="311">
        <f t="shared" si="1"/>
        <v>104.53249220039851</v>
      </c>
      <c r="I31" s="312">
        <f t="shared" si="2"/>
        <v>-36246.31</v>
      </c>
      <c r="J31" s="312">
        <f t="shared" si="3"/>
        <v>66.8871582178453</v>
      </c>
      <c r="K31" s="330">
        <f>F31-46052.97</f>
        <v>27163.72</v>
      </c>
      <c r="L31" s="330">
        <f>F31/46052.97*100</f>
        <v>158.98364426876267</v>
      </c>
      <c r="M31" s="292">
        <f>E31-травень!E31</f>
        <v>3939.9999999999854</v>
      </c>
      <c r="N31" s="295">
        <f>F31-травень!F31</f>
        <v>4449.990000000005</v>
      </c>
      <c r="O31" s="314">
        <f t="shared" si="4"/>
        <v>509.9900000000198</v>
      </c>
      <c r="P31" s="312">
        <f>N31/M31*100</f>
        <v>112.94390862944216</v>
      </c>
      <c r="Q31" s="316"/>
      <c r="R31" s="317"/>
    </row>
    <row r="32" spans="1:18" s="6" customFormat="1" ht="15" hidden="1">
      <c r="A32" s="8"/>
      <c r="B32" s="55" t="s">
        <v>94</v>
      </c>
      <c r="C32" s="108">
        <v>18050200</v>
      </c>
      <c r="D32" s="299">
        <v>0</v>
      </c>
      <c r="E32" s="299">
        <v>0</v>
      </c>
      <c r="F32" s="397">
        <v>0.18</v>
      </c>
      <c r="G32" s="299">
        <f t="shared" si="0"/>
        <v>0.18</v>
      </c>
      <c r="H32" s="300"/>
      <c r="I32" s="302">
        <f t="shared" si="2"/>
        <v>0.18</v>
      </c>
      <c r="J32" s="302"/>
      <c r="K32" s="331">
        <f>F32-(-1.2)</f>
        <v>1.38</v>
      </c>
      <c r="L32" s="331"/>
      <c r="M32" s="300">
        <f>E32-травень!E32</f>
        <v>0</v>
      </c>
      <c r="N32" s="304">
        <f>F32-травень!F32</f>
        <v>0</v>
      </c>
      <c r="O32" s="303">
        <f t="shared" si="4"/>
        <v>0</v>
      </c>
      <c r="P32" s="302"/>
      <c r="Q32" s="316"/>
      <c r="R32" s="317"/>
    </row>
    <row r="33" spans="1:18" s="6" customFormat="1" ht="15" hidden="1">
      <c r="A33" s="8"/>
      <c r="B33" s="55" t="s">
        <v>95</v>
      </c>
      <c r="C33" s="108">
        <v>18050300</v>
      </c>
      <c r="D33" s="299">
        <v>27600</v>
      </c>
      <c r="E33" s="299">
        <v>17695.97</v>
      </c>
      <c r="F33" s="397">
        <v>18313.06</v>
      </c>
      <c r="G33" s="299">
        <f t="shared" si="0"/>
        <v>617.0900000000001</v>
      </c>
      <c r="H33" s="300">
        <f t="shared" si="1"/>
        <v>103.48717815412209</v>
      </c>
      <c r="I33" s="302">
        <f t="shared" si="2"/>
        <v>-9286.939999999999</v>
      </c>
      <c r="J33" s="302">
        <f t="shared" si="3"/>
        <v>66.35166666666667</v>
      </c>
      <c r="K33" s="331">
        <f>F33-11423.16</f>
        <v>6889.9000000000015</v>
      </c>
      <c r="L33" s="331">
        <f>F33/11423.16*100</f>
        <v>160.3151842397375</v>
      </c>
      <c r="M33" s="300">
        <f>E33-травень!E33</f>
        <v>940</v>
      </c>
      <c r="N33" s="304">
        <f>F33-травень!F33</f>
        <v>761</v>
      </c>
      <c r="O33" s="303">
        <f t="shared" si="4"/>
        <v>-179</v>
      </c>
      <c r="P33" s="302">
        <f>N33/M33*100</f>
        <v>80.95744680851064</v>
      </c>
      <c r="Q33" s="316"/>
      <c r="R33" s="317"/>
    </row>
    <row r="34" spans="1:18" s="6" customFormat="1" ht="15" hidden="1">
      <c r="A34" s="8"/>
      <c r="B34" s="55" t="s">
        <v>96</v>
      </c>
      <c r="C34" s="108">
        <v>18050400</v>
      </c>
      <c r="D34" s="299">
        <v>81812</v>
      </c>
      <c r="E34" s="299">
        <v>52336.08</v>
      </c>
      <c r="F34" s="397">
        <v>54889.45</v>
      </c>
      <c r="G34" s="299">
        <f t="shared" si="0"/>
        <v>2553.3699999999953</v>
      </c>
      <c r="H34" s="300">
        <f t="shared" si="1"/>
        <v>104.87879489636975</v>
      </c>
      <c r="I34" s="302">
        <f t="shared" si="2"/>
        <v>-26922.550000000003</v>
      </c>
      <c r="J34" s="302">
        <f t="shared" si="3"/>
        <v>67.09217474209163</v>
      </c>
      <c r="K34" s="331">
        <f>F34-34622.85</f>
        <v>20266.6</v>
      </c>
      <c r="L34" s="331">
        <f>F34/34622.85*100</f>
        <v>158.5353314357426</v>
      </c>
      <c r="M34" s="300">
        <f>E34-травень!E34</f>
        <v>3000</v>
      </c>
      <c r="N34" s="304">
        <f>F34-травень!F34</f>
        <v>3688.989999999998</v>
      </c>
      <c r="O34" s="303">
        <f t="shared" si="4"/>
        <v>688.989999999998</v>
      </c>
      <c r="P34" s="302">
        <f>N34/M34*100</f>
        <v>122.96633333333327</v>
      </c>
      <c r="Q34" s="316"/>
      <c r="R34" s="317"/>
    </row>
    <row r="35" spans="1:18" s="6" customFormat="1" ht="15" hidden="1">
      <c r="A35" s="8"/>
      <c r="B35" s="55" t="s">
        <v>97</v>
      </c>
      <c r="C35" s="108">
        <v>18050500</v>
      </c>
      <c r="D35" s="299">
        <v>51</v>
      </c>
      <c r="E35" s="299">
        <v>9.99</v>
      </c>
      <c r="F35" s="397">
        <v>14.01</v>
      </c>
      <c r="G35" s="299">
        <f t="shared" si="0"/>
        <v>4.02</v>
      </c>
      <c r="H35" s="300">
        <f t="shared" si="1"/>
        <v>140.24024024024024</v>
      </c>
      <c r="I35" s="302">
        <f t="shared" si="2"/>
        <v>-36.99</v>
      </c>
      <c r="J35" s="302">
        <f t="shared" si="3"/>
        <v>27.47058823529412</v>
      </c>
      <c r="K35" s="331">
        <f>F35-8.17</f>
        <v>5.84</v>
      </c>
      <c r="L35" s="331">
        <f>F35/8.17*100</f>
        <v>171.4810281517748</v>
      </c>
      <c r="M35" s="300">
        <f>E35-травень!E35</f>
        <v>0</v>
      </c>
      <c r="N35" s="304">
        <f>F35-травень!F35</f>
        <v>0</v>
      </c>
      <c r="O35" s="303">
        <f t="shared" si="4"/>
        <v>0</v>
      </c>
      <c r="P35" s="302"/>
      <c r="Q35" s="316"/>
      <c r="R35" s="317"/>
    </row>
    <row r="36" spans="1:18" s="6" customFormat="1" ht="15" customHeight="1" hidden="1">
      <c r="A36" s="8"/>
      <c r="B36" s="49" t="s">
        <v>47</v>
      </c>
      <c r="C36" s="48">
        <v>19010000</v>
      </c>
      <c r="D36" s="307">
        <v>0</v>
      </c>
      <c r="E36" s="307">
        <v>0</v>
      </c>
      <c r="F36" s="402">
        <v>0</v>
      </c>
      <c r="G36" s="307">
        <f t="shared" si="0"/>
        <v>0</v>
      </c>
      <c r="H36" s="301"/>
      <c r="I36" s="305">
        <f t="shared" si="2"/>
        <v>0</v>
      </c>
      <c r="J36" s="305"/>
      <c r="K36" s="332">
        <f>F36-4020.8</f>
        <v>-4020.8</v>
      </c>
      <c r="L36" s="332">
        <f>F36/2014.1*100</f>
        <v>0</v>
      </c>
      <c r="M36" s="301">
        <v>0</v>
      </c>
      <c r="N36" s="333">
        <f>F36-травень!F36</f>
        <v>0</v>
      </c>
      <c r="O36" s="308">
        <f t="shared" si="4"/>
        <v>0</v>
      </c>
      <c r="P36" s="305"/>
      <c r="Q36" s="316"/>
      <c r="R36" s="317"/>
    </row>
    <row r="37" spans="1:18" s="6" customFormat="1" ht="17.25">
      <c r="A37" s="7"/>
      <c r="B37" s="16" t="s">
        <v>12</v>
      </c>
      <c r="C37" s="286">
        <v>20000000</v>
      </c>
      <c r="D37" s="287">
        <f>D38+D39+D40+D41+D42+D44+D46+D47+D48+D49+D50+D55+D56+D60</f>
        <v>42820</v>
      </c>
      <c r="E37" s="287">
        <f>E38+E39+E40+E41+E42+E44+E46+E47+E48+E49+E50+E55+E56+E60</f>
        <v>21498.029999999995</v>
      </c>
      <c r="F37" s="395">
        <f>F38+F39+F40+F41+F42+F44+F46+F47+F48+F49+F50+F55+F56+F60+F43</f>
        <v>29260.649999999994</v>
      </c>
      <c r="G37" s="287">
        <f>G38+G39+G40+G41+G42+G44+G46+G47+G48+G49+G50+G55+G56+G60</f>
        <v>7749.02</v>
      </c>
      <c r="H37" s="288">
        <f>F37/E37*100</f>
        <v>136.10851785024022</v>
      </c>
      <c r="I37" s="289">
        <f>F37-D37</f>
        <v>-13559.350000000006</v>
      </c>
      <c r="J37" s="289">
        <f>F37/D37*100</f>
        <v>68.33407286314804</v>
      </c>
      <c r="K37" s="287">
        <f>F37-15873</f>
        <v>13387.649999999994</v>
      </c>
      <c r="L37" s="287">
        <f>F37/15873*100</f>
        <v>184.3422793422793</v>
      </c>
      <c r="M37" s="287">
        <f>M38+M39+M40+M41+M42+M44+M46+M47+M48+M49+M50+M55+M56+M60</f>
        <v>3691.0000000000005</v>
      </c>
      <c r="N37" s="287">
        <f>N38+N39+N40+N41+N42+N44+N46+N47+N48+N49+N50+N55+N56+N60+N43</f>
        <v>6420.2300000000005</v>
      </c>
      <c r="O37" s="287">
        <f>O38+O39+O40+O41+O42+O44+O46+O47+O48+O49+O50+O55+O56+O60</f>
        <v>2722.4300000000007</v>
      </c>
      <c r="P37" s="287">
        <f>N37/M37*100</f>
        <v>173.94283392034677</v>
      </c>
      <c r="Q37" s="290" t="e">
        <f>#N/A</f>
        <v>#N/A</v>
      </c>
      <c r="R37" s="290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291">
        <v>100</v>
      </c>
      <c r="E38" s="291">
        <v>67</v>
      </c>
      <c r="F38" s="396">
        <v>240.17</v>
      </c>
      <c r="G38" s="310">
        <f>F38-E38</f>
        <v>173.17</v>
      </c>
      <c r="H38" s="311">
        <f aca="true" t="shared" si="7" ref="H38:H61">F38/E38*100</f>
        <v>358.46268656716416</v>
      </c>
      <c r="I38" s="312">
        <f>F38-D38</f>
        <v>140.17</v>
      </c>
      <c r="J38" s="312">
        <f>F38/D38*100</f>
        <v>240.17</v>
      </c>
      <c r="K38" s="312">
        <f>F38-100.4</f>
        <v>139.76999999999998</v>
      </c>
      <c r="L38" s="312">
        <f>F38/100.4*100</f>
        <v>239.21314741035852</v>
      </c>
      <c r="M38" s="311">
        <f>E38-травень!E38</f>
        <v>3</v>
      </c>
      <c r="N38" s="334">
        <f>F38-травень!F38</f>
        <v>0</v>
      </c>
      <c r="O38" s="314">
        <f>N38-M38</f>
        <v>-3</v>
      </c>
      <c r="P38" s="312">
        <f aca="true" t="shared" si="8" ref="P38:P61">N38/M38*100</f>
        <v>0</v>
      </c>
      <c r="Q38" s="305"/>
      <c r="R38" s="306"/>
    </row>
    <row r="39" spans="1:18" s="6" customFormat="1" ht="30.75">
      <c r="A39" s="8"/>
      <c r="B39" s="144" t="s">
        <v>80</v>
      </c>
      <c r="C39" s="335">
        <v>21050000</v>
      </c>
      <c r="D39" s="291">
        <v>10000</v>
      </c>
      <c r="E39" s="291">
        <v>6537</v>
      </c>
      <c r="F39" s="396">
        <v>13895.81</v>
      </c>
      <c r="G39" s="310">
        <f aca="true" t="shared" si="9" ref="G39:G62">F39-E39</f>
        <v>7358.8099999999995</v>
      </c>
      <c r="H39" s="311">
        <f t="shared" si="7"/>
        <v>212.57166896129723</v>
      </c>
      <c r="I39" s="312">
        <f aca="true" t="shared" si="10" ref="I39:I62">F39-D39</f>
        <v>3895.8099999999995</v>
      </c>
      <c r="J39" s="312">
        <f>F39/D39*100</f>
        <v>138.9581</v>
      </c>
      <c r="K39" s="312">
        <f>F39-0</f>
        <v>13895.81</v>
      </c>
      <c r="L39" s="312"/>
      <c r="M39" s="311">
        <f>E39-травень!E39</f>
        <v>1000</v>
      </c>
      <c r="N39" s="334">
        <f>F39-травень!F39</f>
        <v>3797.08</v>
      </c>
      <c r="O39" s="314">
        <f aca="true" t="shared" si="11" ref="O39:O62">N39-M39</f>
        <v>2797.08</v>
      </c>
      <c r="P39" s="312">
        <f t="shared" si="8"/>
        <v>379.70799999999997</v>
      </c>
      <c r="Q39" s="305"/>
      <c r="R39" s="306"/>
    </row>
    <row r="40" spans="1:18" s="6" customFormat="1" ht="18">
      <c r="A40" s="8"/>
      <c r="B40" s="144" t="s">
        <v>62</v>
      </c>
      <c r="C40" s="335">
        <v>21080500</v>
      </c>
      <c r="D40" s="291">
        <v>400</v>
      </c>
      <c r="E40" s="291">
        <v>111.44</v>
      </c>
      <c r="F40" s="396">
        <v>28.07</v>
      </c>
      <c r="G40" s="310">
        <f t="shared" si="9"/>
        <v>-83.37</v>
      </c>
      <c r="H40" s="311">
        <f t="shared" si="7"/>
        <v>25.18844221105528</v>
      </c>
      <c r="I40" s="312">
        <f t="shared" si="10"/>
        <v>-371.93</v>
      </c>
      <c r="J40" s="312">
        <f aca="true" t="shared" si="12" ref="J40:J61">F40/D40*100</f>
        <v>7.0175</v>
      </c>
      <c r="K40" s="312">
        <f>F40-188.18</f>
        <v>-160.11</v>
      </c>
      <c r="L40" s="312">
        <f>F40/188.18*100</f>
        <v>14.9165692422149</v>
      </c>
      <c r="M40" s="311">
        <f>E40-травень!E40</f>
        <v>20</v>
      </c>
      <c r="N40" s="334">
        <f>F40-травень!F40</f>
        <v>0.5599999999999987</v>
      </c>
      <c r="O40" s="314">
        <f t="shared" si="11"/>
        <v>-19.44</v>
      </c>
      <c r="P40" s="312">
        <f t="shared" si="8"/>
        <v>2.7999999999999936</v>
      </c>
      <c r="Q40" s="305"/>
      <c r="R40" s="306"/>
    </row>
    <row r="41" spans="1:18" s="6" customFormat="1" ht="30.75">
      <c r="A41" s="8"/>
      <c r="B41" s="336" t="s">
        <v>40</v>
      </c>
      <c r="C41" s="337">
        <v>21080900</v>
      </c>
      <c r="D41" s="291">
        <f>6.5-6.5</f>
        <v>0</v>
      </c>
      <c r="E41" s="291">
        <v>0</v>
      </c>
      <c r="F41" s="396">
        <v>0.1</v>
      </c>
      <c r="G41" s="310">
        <f t="shared" si="9"/>
        <v>0.1</v>
      </c>
      <c r="H41" s="311"/>
      <c r="I41" s="312">
        <f t="shared" si="10"/>
        <v>0.1</v>
      </c>
      <c r="J41" s="312"/>
      <c r="K41" s="312">
        <f>F41-0</f>
        <v>0.1</v>
      </c>
      <c r="L41" s="312"/>
      <c r="M41" s="311">
        <f>E41-травень!E41</f>
        <v>0</v>
      </c>
      <c r="N41" s="334">
        <f>F41-травень!F41</f>
        <v>0</v>
      </c>
      <c r="O41" s="314">
        <f t="shared" si="11"/>
        <v>0</v>
      </c>
      <c r="P41" s="312"/>
      <c r="Q41" s="305"/>
      <c r="R41" s="306"/>
    </row>
    <row r="42" spans="1:18" s="6" customFormat="1" ht="18">
      <c r="A42" s="8"/>
      <c r="B42" s="145" t="s">
        <v>16</v>
      </c>
      <c r="C42" s="48">
        <v>21081100</v>
      </c>
      <c r="D42" s="291">
        <v>150</v>
      </c>
      <c r="E42" s="291">
        <v>60</v>
      </c>
      <c r="F42" s="396">
        <v>60.97</v>
      </c>
      <c r="G42" s="310">
        <f t="shared" si="9"/>
        <v>0.9699999999999989</v>
      </c>
      <c r="H42" s="311">
        <f t="shared" si="7"/>
        <v>101.61666666666666</v>
      </c>
      <c r="I42" s="312">
        <f t="shared" si="10"/>
        <v>-89.03</v>
      </c>
      <c r="J42" s="312">
        <f t="shared" si="12"/>
        <v>40.64666666666666</v>
      </c>
      <c r="K42" s="312">
        <f>F42-81.62</f>
        <v>-20.650000000000006</v>
      </c>
      <c r="L42" s="312">
        <f>F42/81.62*100</f>
        <v>74.69982847341338</v>
      </c>
      <c r="M42" s="311">
        <f>E42-травень!E42</f>
        <v>10</v>
      </c>
      <c r="N42" s="334">
        <f>F42-травень!F42</f>
        <v>10.57</v>
      </c>
      <c r="O42" s="314">
        <f t="shared" si="11"/>
        <v>0.5700000000000003</v>
      </c>
      <c r="P42" s="312">
        <f t="shared" si="8"/>
        <v>105.69999999999999</v>
      </c>
      <c r="Q42" s="305"/>
      <c r="R42" s="306"/>
    </row>
    <row r="43" spans="1:18" s="6" customFormat="1" ht="46.5">
      <c r="A43" s="8"/>
      <c r="B43" s="145" t="s">
        <v>83</v>
      </c>
      <c r="C43" s="48">
        <v>21081500</v>
      </c>
      <c r="D43" s="291">
        <v>0</v>
      </c>
      <c r="E43" s="291">
        <v>0</v>
      </c>
      <c r="F43" s="396">
        <v>13.6</v>
      </c>
      <c r="G43" s="310">
        <f t="shared" si="9"/>
        <v>13.6</v>
      </c>
      <c r="H43" s="311"/>
      <c r="I43" s="312">
        <f t="shared" si="10"/>
        <v>13.6</v>
      </c>
      <c r="J43" s="312"/>
      <c r="K43" s="312">
        <f>F43-2.5</f>
        <v>11.1</v>
      </c>
      <c r="L43" s="312">
        <f>F43/2.5*100</f>
        <v>544</v>
      </c>
      <c r="M43" s="311">
        <f>E43-травень!E43</f>
        <v>0</v>
      </c>
      <c r="N43" s="334">
        <f>F43-травень!F43</f>
        <v>6.8</v>
      </c>
      <c r="O43" s="314"/>
      <c r="P43" s="312"/>
      <c r="Q43" s="305"/>
      <c r="R43" s="306"/>
    </row>
    <row r="44" spans="1:18" s="6" customFormat="1" ht="30.75">
      <c r="A44" s="8"/>
      <c r="B44" s="145" t="s">
        <v>124</v>
      </c>
      <c r="C44" s="338">
        <v>22010300</v>
      </c>
      <c r="D44" s="291">
        <v>90</v>
      </c>
      <c r="E44" s="291">
        <v>40</v>
      </c>
      <c r="F44" s="396">
        <v>168.08</v>
      </c>
      <c r="G44" s="310">
        <f t="shared" si="9"/>
        <v>128.08</v>
      </c>
      <c r="H44" s="311">
        <f t="shared" si="7"/>
        <v>420.2</v>
      </c>
      <c r="I44" s="312">
        <f t="shared" si="10"/>
        <v>78.08000000000001</v>
      </c>
      <c r="J44" s="312">
        <f t="shared" si="12"/>
        <v>186.75555555555556</v>
      </c>
      <c r="K44" s="312">
        <f>F44-0</f>
        <v>168.08</v>
      </c>
      <c r="L44" s="312"/>
      <c r="M44" s="311">
        <f>E44-травень!E44</f>
        <v>8</v>
      </c>
      <c r="N44" s="334">
        <f>F44-травень!F44</f>
        <v>91.75000000000001</v>
      </c>
      <c r="O44" s="314">
        <f t="shared" si="11"/>
        <v>83.75000000000001</v>
      </c>
      <c r="P44" s="312">
        <f t="shared" si="8"/>
        <v>1146.8750000000002</v>
      </c>
      <c r="Q44" s="305"/>
      <c r="R44" s="306"/>
    </row>
    <row r="45" spans="1:18" s="6" customFormat="1" ht="18" hidden="1">
      <c r="A45" s="8"/>
      <c r="B45" s="145"/>
      <c r="C45" s="338"/>
      <c r="D45" s="291"/>
      <c r="E45" s="291"/>
      <c r="F45" s="396"/>
      <c r="G45" s="310"/>
      <c r="H45" s="311"/>
      <c r="I45" s="312"/>
      <c r="J45" s="312"/>
      <c r="K45" s="312"/>
      <c r="L45" s="312"/>
      <c r="M45" s="311">
        <f>E45-травень!E45</f>
        <v>0</v>
      </c>
      <c r="N45" s="334">
        <f>F45-травень!F45</f>
        <v>0</v>
      </c>
      <c r="O45" s="314"/>
      <c r="P45" s="312"/>
      <c r="Q45" s="305"/>
      <c r="R45" s="306"/>
    </row>
    <row r="46" spans="1:18" s="6" customFormat="1" ht="18">
      <c r="A46" s="8"/>
      <c r="B46" s="339" t="s">
        <v>81</v>
      </c>
      <c r="C46" s="48">
        <v>22012500</v>
      </c>
      <c r="D46" s="291">
        <v>9900</v>
      </c>
      <c r="E46" s="291">
        <v>4539.02</v>
      </c>
      <c r="F46" s="396">
        <v>5001.06</v>
      </c>
      <c r="G46" s="310">
        <f t="shared" si="9"/>
        <v>462.03999999999996</v>
      </c>
      <c r="H46" s="311">
        <f t="shared" si="7"/>
        <v>110.17928980264462</v>
      </c>
      <c r="I46" s="312">
        <f t="shared" si="10"/>
        <v>-4898.94</v>
      </c>
      <c r="J46" s="312">
        <f t="shared" si="12"/>
        <v>50.51575757575758</v>
      </c>
      <c r="K46" s="312">
        <f>F46-4927.6</f>
        <v>73.46000000000004</v>
      </c>
      <c r="L46" s="312">
        <f>F46/4927.6*100</f>
        <v>101.4907865898206</v>
      </c>
      <c r="M46" s="311">
        <f>E46-травень!E46</f>
        <v>800.0000000000005</v>
      </c>
      <c r="N46" s="334">
        <f>F46-травень!F46</f>
        <v>943.6500000000005</v>
      </c>
      <c r="O46" s="314">
        <f t="shared" si="11"/>
        <v>143.6500000000001</v>
      </c>
      <c r="P46" s="312">
        <f t="shared" si="8"/>
        <v>117.95625000000001</v>
      </c>
      <c r="Q46" s="305"/>
      <c r="R46" s="306"/>
    </row>
    <row r="47" spans="1:18" s="6" customFormat="1" ht="30.75">
      <c r="A47" s="8"/>
      <c r="B47" s="339" t="s">
        <v>111</v>
      </c>
      <c r="C47" s="48">
        <v>22012600</v>
      </c>
      <c r="D47" s="291">
        <v>1500</v>
      </c>
      <c r="E47" s="291">
        <v>650</v>
      </c>
      <c r="F47" s="396">
        <v>68.92</v>
      </c>
      <c r="G47" s="310">
        <f t="shared" si="9"/>
        <v>-581.08</v>
      </c>
      <c r="H47" s="311">
        <f t="shared" si="7"/>
        <v>10.603076923076923</v>
      </c>
      <c r="I47" s="312">
        <f t="shared" si="10"/>
        <v>-1431.08</v>
      </c>
      <c r="J47" s="312">
        <f t="shared" si="12"/>
        <v>4.594666666666667</v>
      </c>
      <c r="K47" s="312">
        <f>F47-0</f>
        <v>68.92</v>
      </c>
      <c r="L47" s="312"/>
      <c r="M47" s="311">
        <f>E47-травень!E47</f>
        <v>130</v>
      </c>
      <c r="N47" s="334">
        <f>F47-травень!F47</f>
        <v>34.99</v>
      </c>
      <c r="O47" s="314">
        <f t="shared" si="11"/>
        <v>-95.00999999999999</v>
      </c>
      <c r="P47" s="312">
        <f t="shared" si="8"/>
        <v>26.915384615384617</v>
      </c>
      <c r="Q47" s="305"/>
      <c r="R47" s="306"/>
    </row>
    <row r="48" spans="1:18" s="6" customFormat="1" ht="30.75">
      <c r="A48" s="8"/>
      <c r="B48" s="339" t="s">
        <v>125</v>
      </c>
      <c r="C48" s="48">
        <v>22012900</v>
      </c>
      <c r="D48" s="291">
        <v>50</v>
      </c>
      <c r="E48" s="291">
        <v>20</v>
      </c>
      <c r="F48" s="396">
        <v>8.54</v>
      </c>
      <c r="G48" s="310">
        <f t="shared" si="9"/>
        <v>-11.46</v>
      </c>
      <c r="H48" s="311">
        <f t="shared" si="7"/>
        <v>42.699999999999996</v>
      </c>
      <c r="I48" s="312">
        <f t="shared" si="10"/>
        <v>-41.46</v>
      </c>
      <c r="J48" s="312">
        <f t="shared" si="12"/>
        <v>17.08</v>
      </c>
      <c r="K48" s="312">
        <f>F48-0</f>
        <v>8.54</v>
      </c>
      <c r="L48" s="312"/>
      <c r="M48" s="311">
        <f>E48-травень!E48</f>
        <v>4</v>
      </c>
      <c r="N48" s="334">
        <f>F48-травень!F48</f>
        <v>0.8199999999999994</v>
      </c>
      <c r="O48" s="314">
        <f t="shared" si="11"/>
        <v>-3.1800000000000006</v>
      </c>
      <c r="P48" s="312">
        <f t="shared" si="8"/>
        <v>20.499999999999986</v>
      </c>
      <c r="Q48" s="305"/>
      <c r="R48" s="306"/>
    </row>
    <row r="49" spans="1:18" s="6" customFormat="1" ht="30.75">
      <c r="A49" s="8"/>
      <c r="B49" s="145" t="s">
        <v>14</v>
      </c>
      <c r="C49" s="338">
        <v>22080400</v>
      </c>
      <c r="D49" s="291">
        <v>8500</v>
      </c>
      <c r="E49" s="291">
        <v>3966.23</v>
      </c>
      <c r="F49" s="396">
        <v>3928.05</v>
      </c>
      <c r="G49" s="310">
        <f t="shared" si="9"/>
        <v>-38.179999999999836</v>
      </c>
      <c r="H49" s="311">
        <f t="shared" si="7"/>
        <v>99.037373021736</v>
      </c>
      <c r="I49" s="312">
        <f t="shared" si="10"/>
        <v>-4571.95</v>
      </c>
      <c r="J49" s="312">
        <f t="shared" si="12"/>
        <v>46.21235294117647</v>
      </c>
      <c r="K49" s="312">
        <f>F49-4302.71</f>
        <v>-374.65999999999985</v>
      </c>
      <c r="L49" s="312">
        <f>F49/4302.71*100</f>
        <v>91.29246451654888</v>
      </c>
      <c r="M49" s="311">
        <f>E49-травень!E49</f>
        <v>650</v>
      </c>
      <c r="N49" s="334">
        <f>F49-травень!F49</f>
        <v>623.8100000000004</v>
      </c>
      <c r="O49" s="314">
        <f t="shared" si="11"/>
        <v>-26.1899999999996</v>
      </c>
      <c r="P49" s="312">
        <f t="shared" si="8"/>
        <v>95.97076923076929</v>
      </c>
      <c r="Q49" s="305"/>
      <c r="R49" s="306"/>
    </row>
    <row r="50" spans="1:18" s="6" customFormat="1" ht="18">
      <c r="A50" s="8"/>
      <c r="B50" s="145" t="s">
        <v>15</v>
      </c>
      <c r="C50" s="48">
        <v>22090000</v>
      </c>
      <c r="D50" s="291">
        <v>7300</v>
      </c>
      <c r="E50" s="291">
        <v>3219.19</v>
      </c>
      <c r="F50" s="396">
        <v>3094.63</v>
      </c>
      <c r="G50" s="310">
        <f t="shared" si="9"/>
        <v>-124.55999999999995</v>
      </c>
      <c r="H50" s="311">
        <f t="shared" si="7"/>
        <v>96.13070368633103</v>
      </c>
      <c r="I50" s="312">
        <f t="shared" si="10"/>
        <v>-4205.37</v>
      </c>
      <c r="J50" s="312">
        <f t="shared" si="12"/>
        <v>42.39219178082192</v>
      </c>
      <c r="K50" s="312">
        <f>F50-4033.24</f>
        <v>-938.6099999999997</v>
      </c>
      <c r="L50" s="312">
        <f>F50/4033.24*100</f>
        <v>76.7281391635509</v>
      </c>
      <c r="M50" s="311">
        <f>E50-травень!E50</f>
        <v>666</v>
      </c>
      <c r="N50" s="334">
        <f>F50-травень!F50</f>
        <v>521.1700000000001</v>
      </c>
      <c r="O50" s="314">
        <f t="shared" si="11"/>
        <v>-144.82999999999993</v>
      </c>
      <c r="P50" s="312">
        <f t="shared" si="8"/>
        <v>78.25375375375376</v>
      </c>
      <c r="Q50" s="305"/>
      <c r="R50" s="306"/>
    </row>
    <row r="51" spans="1:18" s="6" customFormat="1" ht="15">
      <c r="A51" s="8"/>
      <c r="B51" s="55" t="s">
        <v>101</v>
      </c>
      <c r="C51" s="138">
        <v>22090100</v>
      </c>
      <c r="D51" s="299">
        <v>1100</v>
      </c>
      <c r="E51" s="299">
        <v>551.99</v>
      </c>
      <c r="F51" s="397">
        <v>420.67</v>
      </c>
      <c r="G51" s="307">
        <f t="shared" si="9"/>
        <v>-131.32</v>
      </c>
      <c r="H51" s="301">
        <f t="shared" si="7"/>
        <v>76.2097139440932</v>
      </c>
      <c r="I51" s="302">
        <f t="shared" si="10"/>
        <v>-679.3299999999999</v>
      </c>
      <c r="J51" s="302">
        <f t="shared" si="12"/>
        <v>38.24272727272727</v>
      </c>
      <c r="K51" s="302">
        <f>F51-582.74</f>
        <v>-162.07</v>
      </c>
      <c r="L51" s="302">
        <f>F51/582.74*100</f>
        <v>72.18828293921817</v>
      </c>
      <c r="M51" s="300">
        <f>E51-травень!E51</f>
        <v>185</v>
      </c>
      <c r="N51" s="304">
        <f>F51-травень!F51</f>
        <v>53.120000000000005</v>
      </c>
      <c r="O51" s="303">
        <f t="shared" si="11"/>
        <v>-131.88</v>
      </c>
      <c r="P51" s="332">
        <f t="shared" si="8"/>
        <v>28.713513513513515</v>
      </c>
      <c r="Q51" s="305"/>
      <c r="R51" s="306"/>
    </row>
    <row r="52" spans="1:18" s="6" customFormat="1" ht="15">
      <c r="A52" s="8"/>
      <c r="B52" s="55" t="s">
        <v>98</v>
      </c>
      <c r="C52" s="138">
        <v>22090200</v>
      </c>
      <c r="D52" s="299">
        <v>45</v>
      </c>
      <c r="E52" s="299">
        <v>5.04</v>
      </c>
      <c r="F52" s="397">
        <v>0.24</v>
      </c>
      <c r="G52" s="307">
        <f t="shared" si="9"/>
        <v>-4.8</v>
      </c>
      <c r="H52" s="301">
        <f t="shared" si="7"/>
        <v>4.761904761904762</v>
      </c>
      <c r="I52" s="302">
        <f t="shared" si="10"/>
        <v>-44.76</v>
      </c>
      <c r="J52" s="302">
        <f t="shared" si="12"/>
        <v>0.5333333333333333</v>
      </c>
      <c r="K52" s="302">
        <f>F52-45.15</f>
        <v>-44.91</v>
      </c>
      <c r="L52" s="302">
        <f>F52/45.15*100</f>
        <v>0.53156146179402</v>
      </c>
      <c r="M52" s="300">
        <f>E52-травень!E52</f>
        <v>1</v>
      </c>
      <c r="N52" s="304">
        <f>F52-травень!F52</f>
        <v>0.009999999999999981</v>
      </c>
      <c r="O52" s="303">
        <f t="shared" si="11"/>
        <v>-0.99</v>
      </c>
      <c r="P52" s="332">
        <f t="shared" si="8"/>
        <v>0.9999999999999981</v>
      </c>
      <c r="Q52" s="305"/>
      <c r="R52" s="306"/>
    </row>
    <row r="53" spans="1:18" s="6" customFormat="1" ht="15">
      <c r="A53" s="8"/>
      <c r="B53" s="55" t="s">
        <v>99</v>
      </c>
      <c r="C53" s="138">
        <v>22090300</v>
      </c>
      <c r="D53" s="299">
        <v>1</v>
      </c>
      <c r="E53" s="299">
        <v>0</v>
      </c>
      <c r="F53" s="397">
        <v>0.02</v>
      </c>
      <c r="G53" s="307">
        <f t="shared" si="9"/>
        <v>0.02</v>
      </c>
      <c r="H53" s="301"/>
      <c r="I53" s="302">
        <f t="shared" si="10"/>
        <v>-0.98</v>
      </c>
      <c r="J53" s="302">
        <f t="shared" si="12"/>
        <v>2</v>
      </c>
      <c r="K53" s="302">
        <f>F53-0.75</f>
        <v>-0.73</v>
      </c>
      <c r="L53" s="302">
        <f>F53/0.75*100</f>
        <v>2.666666666666667</v>
      </c>
      <c r="M53" s="300">
        <f>E53-травень!E53</f>
        <v>0</v>
      </c>
      <c r="N53" s="304">
        <f>F53-травень!F53</f>
        <v>0</v>
      </c>
      <c r="O53" s="303">
        <f t="shared" si="11"/>
        <v>0</v>
      </c>
      <c r="P53" s="332"/>
      <c r="Q53" s="305"/>
      <c r="R53" s="306"/>
    </row>
    <row r="54" spans="1:18" s="6" customFormat="1" ht="15">
      <c r="A54" s="8"/>
      <c r="B54" s="55" t="s">
        <v>100</v>
      </c>
      <c r="C54" s="138">
        <v>22090400</v>
      </c>
      <c r="D54" s="299">
        <v>6154</v>
      </c>
      <c r="E54" s="299">
        <v>2662.17</v>
      </c>
      <c r="F54" s="397">
        <v>2673.71</v>
      </c>
      <c r="G54" s="307">
        <f t="shared" si="9"/>
        <v>11.539999999999964</v>
      </c>
      <c r="H54" s="301">
        <f t="shared" si="7"/>
        <v>100.43348095726418</v>
      </c>
      <c r="I54" s="302">
        <f t="shared" si="10"/>
        <v>-3480.29</v>
      </c>
      <c r="J54" s="302">
        <f t="shared" si="12"/>
        <v>43.44670133246669</v>
      </c>
      <c r="K54" s="302">
        <f>F54-3404.6</f>
        <v>-730.8899999999999</v>
      </c>
      <c r="L54" s="302">
        <f>F54/3404.6*100</f>
        <v>78.53227985666452</v>
      </c>
      <c r="M54" s="300">
        <f>E54-травень!E54</f>
        <v>480</v>
      </c>
      <c r="N54" s="304">
        <f>F54-травень!F54</f>
        <v>468.03999999999996</v>
      </c>
      <c r="O54" s="303">
        <f t="shared" si="11"/>
        <v>-11.960000000000036</v>
      </c>
      <c r="P54" s="332">
        <f t="shared" si="8"/>
        <v>97.50833333333333</v>
      </c>
      <c r="Q54" s="305"/>
      <c r="R54" s="306"/>
    </row>
    <row r="55" spans="1:18" s="6" customFormat="1" ht="46.5">
      <c r="A55" s="8"/>
      <c r="B55" s="13" t="s">
        <v>17</v>
      </c>
      <c r="C55" s="11" t="s">
        <v>18</v>
      </c>
      <c r="D55" s="291">
        <v>10</v>
      </c>
      <c r="E55" s="291">
        <v>0.17</v>
      </c>
      <c r="F55" s="396">
        <v>2.46</v>
      </c>
      <c r="G55" s="310">
        <f t="shared" si="9"/>
        <v>2.29</v>
      </c>
      <c r="H55" s="311">
        <f t="shared" si="7"/>
        <v>1447.0588235294117</v>
      </c>
      <c r="I55" s="312">
        <f t="shared" si="10"/>
        <v>-7.54</v>
      </c>
      <c r="J55" s="312">
        <f t="shared" si="12"/>
        <v>24.6</v>
      </c>
      <c r="K55" s="312">
        <f>F55-0</f>
        <v>2.46</v>
      </c>
      <c r="L55" s="312"/>
      <c r="M55" s="311">
        <f>E55-травень!E55</f>
        <v>0</v>
      </c>
      <c r="N55" s="334">
        <f>F55-травень!F55</f>
        <v>0</v>
      </c>
      <c r="O55" s="314">
        <f t="shared" si="11"/>
        <v>0</v>
      </c>
      <c r="P55" s="312"/>
      <c r="Q55" s="305"/>
      <c r="R55" s="306"/>
    </row>
    <row r="56" spans="1:18" s="6" customFormat="1" ht="15.75" customHeight="1">
      <c r="A56" s="8"/>
      <c r="B56" s="146" t="s">
        <v>13</v>
      </c>
      <c r="C56" s="11" t="s">
        <v>19</v>
      </c>
      <c r="D56" s="291">
        <v>4800</v>
      </c>
      <c r="E56" s="291">
        <v>2267.98</v>
      </c>
      <c r="F56" s="396">
        <v>2709.14</v>
      </c>
      <c r="G56" s="310">
        <f t="shared" si="9"/>
        <v>441.15999999999985</v>
      </c>
      <c r="H56" s="311">
        <f t="shared" si="7"/>
        <v>119.45167064965298</v>
      </c>
      <c r="I56" s="312">
        <f t="shared" si="10"/>
        <v>-2090.86</v>
      </c>
      <c r="J56" s="312">
        <f t="shared" si="12"/>
        <v>56.44041666666666</v>
      </c>
      <c r="K56" s="312">
        <f>F56-2236.15</f>
        <v>472.9899999999998</v>
      </c>
      <c r="L56" s="312">
        <f>F56/2236.15*100</f>
        <v>121.15197996556581</v>
      </c>
      <c r="M56" s="311">
        <f>E56-травень!E56</f>
        <v>400</v>
      </c>
      <c r="N56" s="334">
        <f>F56-травень!F56</f>
        <v>389.02999999999975</v>
      </c>
      <c r="O56" s="314">
        <f t="shared" si="11"/>
        <v>-10.970000000000255</v>
      </c>
      <c r="P56" s="312">
        <f t="shared" si="8"/>
        <v>97.25749999999994</v>
      </c>
      <c r="Q56" s="305"/>
      <c r="R56" s="306"/>
    </row>
    <row r="57" spans="1:18" s="6" customFormat="1" ht="18" hidden="1">
      <c r="A57" s="8"/>
      <c r="B57" s="12" t="s">
        <v>22</v>
      </c>
      <c r="C57" s="66" t="s">
        <v>23</v>
      </c>
      <c r="D57" s="340">
        <v>0</v>
      </c>
      <c r="E57" s="340">
        <v>0</v>
      </c>
      <c r="F57" s="403">
        <v>0</v>
      </c>
      <c r="G57" s="310">
        <f t="shared" si="9"/>
        <v>0</v>
      </c>
      <c r="H57" s="311" t="e">
        <f t="shared" si="7"/>
        <v>#DIV/0!</v>
      </c>
      <c r="I57" s="312">
        <f t="shared" si="10"/>
        <v>0</v>
      </c>
      <c r="J57" s="312" t="e">
        <f t="shared" si="12"/>
        <v>#DIV/0!</v>
      </c>
      <c r="K57" s="312"/>
      <c r="L57" s="312">
        <f>F57</f>
        <v>0</v>
      </c>
      <c r="M57" s="311">
        <f>E57-квітень!E53</f>
        <v>0</v>
      </c>
      <c r="N57" s="334">
        <f>F57-квітень!F53</f>
        <v>0</v>
      </c>
      <c r="O57" s="314">
        <f t="shared" si="11"/>
        <v>0</v>
      </c>
      <c r="P57" s="312" t="e">
        <f t="shared" si="8"/>
        <v>#DIV/0!</v>
      </c>
      <c r="Q57" s="305"/>
      <c r="R57" s="306"/>
    </row>
    <row r="58" spans="1:18" s="6" customFormat="1" ht="30.75">
      <c r="A58" s="8"/>
      <c r="B58" s="55" t="s">
        <v>43</v>
      </c>
      <c r="C58" s="66"/>
      <c r="D58" s="299"/>
      <c r="E58" s="299"/>
      <c r="F58" s="404">
        <v>591.67</v>
      </c>
      <c r="G58" s="310"/>
      <c r="H58" s="311"/>
      <c r="I58" s="312"/>
      <c r="J58" s="312"/>
      <c r="K58" s="313">
        <f>F58-577.4</f>
        <v>14.269999999999982</v>
      </c>
      <c r="L58" s="313">
        <f>F58/577.4*100</f>
        <v>102.47142362313821</v>
      </c>
      <c r="M58" s="341"/>
      <c r="N58" s="342">
        <f>F58-травень!F58</f>
        <v>112.99999999999994</v>
      </c>
      <c r="O58" s="313"/>
      <c r="P58" s="312"/>
      <c r="Q58" s="305"/>
      <c r="R58" s="306"/>
    </row>
    <row r="59" spans="1:18" s="6" customFormat="1" ht="18" hidden="1">
      <c r="A59" s="8"/>
      <c r="B59" s="146" t="s">
        <v>20</v>
      </c>
      <c r="C59" s="143" t="s">
        <v>21</v>
      </c>
      <c r="D59" s="307">
        <v>0</v>
      </c>
      <c r="E59" s="307">
        <v>0</v>
      </c>
      <c r="F59" s="405">
        <v>0</v>
      </c>
      <c r="G59" s="310">
        <f t="shared" si="9"/>
        <v>0</v>
      </c>
      <c r="H59" s="311"/>
      <c r="I59" s="312">
        <f t="shared" si="10"/>
        <v>0</v>
      </c>
      <c r="J59" s="312"/>
      <c r="K59" s="313"/>
      <c r="L59" s="313"/>
      <c r="M59" s="311">
        <f>E59-квітень!E55</f>
        <v>0</v>
      </c>
      <c r="N59" s="334">
        <f>F59-квітень!F55</f>
        <v>0</v>
      </c>
      <c r="O59" s="314">
        <f t="shared" si="11"/>
        <v>0</v>
      </c>
      <c r="P59" s="312"/>
      <c r="Q59" s="305"/>
      <c r="R59" s="306"/>
    </row>
    <row r="60" spans="1:18" s="6" customFormat="1" ht="44.25" customHeight="1">
      <c r="A60" s="8"/>
      <c r="B60" s="146" t="s">
        <v>44</v>
      </c>
      <c r="C60" s="48">
        <v>24061900</v>
      </c>
      <c r="D60" s="291">
        <v>20</v>
      </c>
      <c r="E60" s="291">
        <v>20</v>
      </c>
      <c r="F60" s="396">
        <v>41.05</v>
      </c>
      <c r="G60" s="310">
        <f t="shared" si="9"/>
        <v>21.049999999999997</v>
      </c>
      <c r="H60" s="311">
        <f t="shared" si="7"/>
        <v>205.24999999999997</v>
      </c>
      <c r="I60" s="312">
        <f t="shared" si="10"/>
        <v>21.049999999999997</v>
      </c>
      <c r="J60" s="312">
        <f t="shared" si="12"/>
        <v>205.24999999999997</v>
      </c>
      <c r="K60" s="312">
        <f>F60-0.6</f>
        <v>40.449999999999996</v>
      </c>
      <c r="L60" s="312">
        <f>F60/0.6*100</f>
        <v>6841.666666666667</v>
      </c>
      <c r="M60" s="311">
        <f>E60-травень!E60</f>
        <v>0</v>
      </c>
      <c r="N60" s="334">
        <f>F60-травень!F60</f>
        <v>0</v>
      </c>
      <c r="O60" s="314">
        <f t="shared" si="11"/>
        <v>0</v>
      </c>
      <c r="P60" s="312"/>
      <c r="Q60" s="305"/>
      <c r="R60" s="306"/>
    </row>
    <row r="61" spans="1:18" s="6" customFormat="1" ht="30.75">
      <c r="A61" s="8"/>
      <c r="B61" s="12" t="s">
        <v>45</v>
      </c>
      <c r="C61" s="48">
        <v>31010200</v>
      </c>
      <c r="D61" s="291">
        <v>30</v>
      </c>
      <c r="E61" s="291">
        <v>12.2</v>
      </c>
      <c r="F61" s="396">
        <v>13.52</v>
      </c>
      <c r="G61" s="310">
        <f t="shared" si="9"/>
        <v>1.3200000000000003</v>
      </c>
      <c r="H61" s="311">
        <f t="shared" si="7"/>
        <v>110.81967213114754</v>
      </c>
      <c r="I61" s="312">
        <f t="shared" si="10"/>
        <v>-16.48</v>
      </c>
      <c r="J61" s="312">
        <f t="shared" si="12"/>
        <v>45.06666666666666</v>
      </c>
      <c r="K61" s="312">
        <f>F61-6.52</f>
        <v>7</v>
      </c>
      <c r="L61" s="312">
        <f>F61/6.52*100</f>
        <v>207.36196319018404</v>
      </c>
      <c r="M61" s="311">
        <f>E61-травень!E61</f>
        <v>2.299999999999999</v>
      </c>
      <c r="N61" s="334">
        <f>F61-травень!F61</f>
        <v>0</v>
      </c>
      <c r="O61" s="314">
        <f t="shared" si="11"/>
        <v>-2.299999999999999</v>
      </c>
      <c r="P61" s="312">
        <f t="shared" si="8"/>
        <v>0</v>
      </c>
      <c r="Q61" s="305"/>
      <c r="R61" s="306"/>
    </row>
    <row r="62" spans="1:18" s="6" customFormat="1" ht="30.75">
      <c r="A62" s="8"/>
      <c r="B62" s="12" t="s">
        <v>58</v>
      </c>
      <c r="C62" s="48">
        <v>31020000</v>
      </c>
      <c r="D62" s="291">
        <v>0.6</v>
      </c>
      <c r="E62" s="291">
        <v>0</v>
      </c>
      <c r="F62" s="396">
        <v>0.4</v>
      </c>
      <c r="G62" s="310">
        <f t="shared" si="9"/>
        <v>0.4</v>
      </c>
      <c r="H62" s="311"/>
      <c r="I62" s="312">
        <f t="shared" si="10"/>
        <v>-0.19999999999999996</v>
      </c>
      <c r="J62" s="312"/>
      <c r="K62" s="312">
        <f>F62-0.02</f>
        <v>0.38</v>
      </c>
      <c r="L62" s="312"/>
      <c r="M62" s="311">
        <f>E62-травень!E62</f>
        <v>0</v>
      </c>
      <c r="N62" s="334">
        <f>F62-травень!F62</f>
        <v>0</v>
      </c>
      <c r="O62" s="314">
        <f t="shared" si="11"/>
        <v>0</v>
      </c>
      <c r="P62" s="312"/>
      <c r="Q62" s="305"/>
      <c r="R62" s="306"/>
    </row>
    <row r="63" spans="1:20" s="6" customFormat="1" ht="18">
      <c r="A63" s="9"/>
      <c r="B63" s="14" t="s">
        <v>28</v>
      </c>
      <c r="C63" s="343"/>
      <c r="D63" s="287">
        <f>D8+D37+D61+D62</f>
        <v>883900.6</v>
      </c>
      <c r="E63" s="287">
        <f>E8+E37+E61+E62</f>
        <v>441746.00999999995</v>
      </c>
      <c r="F63" s="395">
        <f>F8+F37+F61+F62</f>
        <v>494786</v>
      </c>
      <c r="G63" s="287">
        <f>F63-E63</f>
        <v>53039.99000000005</v>
      </c>
      <c r="H63" s="288">
        <f>F63/E63*100</f>
        <v>112.00689735714874</v>
      </c>
      <c r="I63" s="289">
        <f>F63-D63</f>
        <v>-389114.6</v>
      </c>
      <c r="J63" s="289">
        <f>F63/D63*100</f>
        <v>55.97756127781789</v>
      </c>
      <c r="K63" s="289">
        <f>F63-320998.67</f>
        <v>173787.33000000002</v>
      </c>
      <c r="L63" s="289">
        <f>F63/320998.67*100</f>
        <v>154.13957945682455</v>
      </c>
      <c r="M63" s="287">
        <f>M8+M37+M61+M62</f>
        <v>71492.59999999999</v>
      </c>
      <c r="N63" s="287">
        <f>N8+N37+N61+N62</f>
        <v>96936.71</v>
      </c>
      <c r="O63" s="344">
        <f>N63-M63</f>
        <v>25444.110000000015</v>
      </c>
      <c r="P63" s="289">
        <f>N63/M63*100</f>
        <v>135.58985125733295</v>
      </c>
      <c r="Q63" s="345">
        <f>N63-34768</f>
        <v>62168.71000000001</v>
      </c>
      <c r="R63" s="346">
        <f>N63/34768</f>
        <v>2.78810141509434</v>
      </c>
      <c r="T63" s="147"/>
    </row>
    <row r="64" spans="1:18" s="53" customFormat="1" ht="17.25" hidden="1">
      <c r="A64" s="50"/>
      <c r="B64" s="60"/>
      <c r="C64" s="347"/>
      <c r="D64" s="348"/>
      <c r="E64" s="348"/>
      <c r="F64" s="406"/>
      <c r="G64" s="349"/>
      <c r="H64" s="350"/>
      <c r="I64" s="351"/>
      <c r="J64" s="352"/>
      <c r="K64" s="352"/>
      <c r="L64" s="352"/>
      <c r="M64" s="350"/>
      <c r="N64" s="348"/>
      <c r="O64" s="353"/>
      <c r="P64" s="352"/>
      <c r="Q64" s="352"/>
      <c r="R64" s="354"/>
    </row>
    <row r="65" spans="1:18" s="53" customFormat="1" ht="17.25" hidden="1">
      <c r="A65" s="50"/>
      <c r="B65" s="61"/>
      <c r="C65" s="347"/>
      <c r="D65" s="355"/>
      <c r="E65" s="348"/>
      <c r="F65" s="406"/>
      <c r="G65" s="356"/>
      <c r="H65" s="350"/>
      <c r="I65" s="357"/>
      <c r="J65" s="352"/>
      <c r="K65" s="352"/>
      <c r="L65" s="352"/>
      <c r="M65" s="301"/>
      <c r="N65" s="348"/>
      <c r="O65" s="358"/>
      <c r="P65" s="352"/>
      <c r="Q65" s="352"/>
      <c r="R65" s="354"/>
    </row>
    <row r="66" spans="1:18" s="53" customFormat="1" ht="17.25" hidden="1">
      <c r="A66" s="50"/>
      <c r="B66" s="61"/>
      <c r="C66" s="347"/>
      <c r="D66" s="355"/>
      <c r="E66" s="307"/>
      <c r="F66" s="407"/>
      <c r="G66" s="356"/>
      <c r="H66" s="350"/>
      <c r="I66" s="357"/>
      <c r="J66" s="352"/>
      <c r="K66" s="352"/>
      <c r="L66" s="352"/>
      <c r="M66" s="301"/>
      <c r="N66" s="355"/>
      <c r="O66" s="353"/>
      <c r="P66" s="352"/>
      <c r="Q66" s="352"/>
      <c r="R66" s="354"/>
    </row>
    <row r="67" spans="1:18" ht="15">
      <c r="A67" s="359"/>
      <c r="B67" s="360" t="s">
        <v>138</v>
      </c>
      <c r="C67" s="361"/>
      <c r="D67" s="362"/>
      <c r="E67" s="362"/>
      <c r="F67" s="408"/>
      <c r="G67" s="307"/>
      <c r="H67" s="301"/>
      <c r="I67" s="363"/>
      <c r="J67" s="363"/>
      <c r="K67" s="363"/>
      <c r="L67" s="363"/>
      <c r="M67" s="340"/>
      <c r="N67" s="364"/>
      <c r="O67" s="308"/>
      <c r="P67" s="363"/>
      <c r="Q67" s="363"/>
      <c r="R67" s="365"/>
    </row>
    <row r="68" spans="1:18" ht="25.5" customHeight="1">
      <c r="A68" s="359"/>
      <c r="B68" s="366" t="s">
        <v>112</v>
      </c>
      <c r="C68" s="270">
        <v>12020000</v>
      </c>
      <c r="D68" s="367">
        <v>0</v>
      </c>
      <c r="E68" s="367"/>
      <c r="F68" s="409">
        <v>0.01</v>
      </c>
      <c r="G68" s="310"/>
      <c r="H68" s="311"/>
      <c r="I68" s="314"/>
      <c r="J68" s="314"/>
      <c r="K68" s="314">
        <f>F68-0</f>
        <v>0.01</v>
      </c>
      <c r="L68" s="314"/>
      <c r="M68" s="310"/>
      <c r="N68" s="368">
        <f>F68-травень!F68</f>
        <v>0</v>
      </c>
      <c r="O68" s="314"/>
      <c r="P68" s="314"/>
      <c r="Q68" s="363"/>
      <c r="R68" s="365"/>
    </row>
    <row r="69" spans="1:18" ht="30.75">
      <c r="A69" s="359"/>
      <c r="B69" s="145" t="s">
        <v>63</v>
      </c>
      <c r="C69" s="369">
        <v>18041500</v>
      </c>
      <c r="D69" s="367">
        <v>0</v>
      </c>
      <c r="E69" s="367"/>
      <c r="F69" s="409">
        <v>-2.3</v>
      </c>
      <c r="G69" s="310">
        <f>F69-E69</f>
        <v>-2.3</v>
      </c>
      <c r="H69" s="311"/>
      <c r="I69" s="314">
        <f>F69-D69</f>
        <v>-2.3</v>
      </c>
      <c r="J69" s="314"/>
      <c r="K69" s="314">
        <f>F69-(-31.04)</f>
        <v>28.74</v>
      </c>
      <c r="L69" s="314">
        <f>F69/(-31.04)*100</f>
        <v>7.40979381443299</v>
      </c>
      <c r="M69" s="311"/>
      <c r="N69" s="368">
        <f>F69-травень!F69</f>
        <v>-2.03</v>
      </c>
      <c r="O69" s="314">
        <f>N69-M69</f>
        <v>-2.03</v>
      </c>
      <c r="P69" s="314"/>
      <c r="Q69" s="363"/>
      <c r="R69" s="365"/>
    </row>
    <row r="70" spans="1:18" ht="17.25">
      <c r="A70" s="359"/>
      <c r="B70" s="370" t="s">
        <v>46</v>
      </c>
      <c r="C70" s="371"/>
      <c r="D70" s="372">
        <f>D69</f>
        <v>0</v>
      </c>
      <c r="E70" s="372">
        <f>E69</f>
        <v>0</v>
      </c>
      <c r="F70" s="410">
        <f>SUM(F68:F69)</f>
        <v>-2.29</v>
      </c>
      <c r="G70" s="373">
        <f>F70-E70</f>
        <v>-2.29</v>
      </c>
      <c r="H70" s="374"/>
      <c r="I70" s="375">
        <f>F70-D70</f>
        <v>-2.29</v>
      </c>
      <c r="J70" s="375"/>
      <c r="K70" s="375">
        <f>F70-(-31.04)</f>
        <v>28.75</v>
      </c>
      <c r="L70" s="375">
        <f>F70/(-31.04)*100</f>
        <v>7.377577319587629</v>
      </c>
      <c r="M70" s="373">
        <f>M69</f>
        <v>0</v>
      </c>
      <c r="N70" s="376">
        <f>SUM(N68:N69)</f>
        <v>-2.03</v>
      </c>
      <c r="O70" s="375">
        <f>N70-M70</f>
        <v>-2.03</v>
      </c>
      <c r="P70" s="375"/>
      <c r="Q70" s="377"/>
      <c r="R70" s="378"/>
    </row>
    <row r="71" spans="1:18" ht="46.5" hidden="1">
      <c r="A71" s="359"/>
      <c r="B71" s="145" t="s">
        <v>38</v>
      </c>
      <c r="C71" s="371">
        <v>21110000</v>
      </c>
      <c r="D71" s="367">
        <v>0</v>
      </c>
      <c r="E71" s="367"/>
      <c r="F71" s="409">
        <v>0</v>
      </c>
      <c r="G71" s="310" t="e">
        <f>#N/A</f>
        <v>#N/A</v>
      </c>
      <c r="H71" s="311" t="e">
        <f>F71/E71*100</f>
        <v>#DIV/0!</v>
      </c>
      <c r="I71" s="314" t="e">
        <f>#N/A</f>
        <v>#N/A</v>
      </c>
      <c r="J71" s="314" t="e">
        <f>#N/A</f>
        <v>#N/A</v>
      </c>
      <c r="K71" s="314"/>
      <c r="L71" s="314"/>
      <c r="M71" s="310">
        <v>0</v>
      </c>
      <c r="N71" s="368">
        <f>F71</f>
        <v>0</v>
      </c>
      <c r="O71" s="314" t="e">
        <f>#N/A</f>
        <v>#N/A</v>
      </c>
      <c r="P71" s="314"/>
      <c r="Q71" s="363"/>
      <c r="R71" s="365"/>
    </row>
    <row r="72" spans="1:18" ht="30.75">
      <c r="A72" s="359"/>
      <c r="B72" s="145" t="s">
        <v>30</v>
      </c>
      <c r="C72" s="369">
        <v>31030000</v>
      </c>
      <c r="D72" s="367">
        <v>4200</v>
      </c>
      <c r="E72" s="367">
        <v>1413</v>
      </c>
      <c r="F72" s="409">
        <v>1042.02</v>
      </c>
      <c r="G72" s="310">
        <f aca="true" t="shared" si="13" ref="G72:G82">F72-E72</f>
        <v>-370.98</v>
      </c>
      <c r="H72" s="311"/>
      <c r="I72" s="314">
        <f aca="true" t="shared" si="14" ref="I72:I82">F72-D72</f>
        <v>-3157.98</v>
      </c>
      <c r="J72" s="314">
        <f>F72/D72*100</f>
        <v>24.81</v>
      </c>
      <c r="K72" s="314">
        <f>F72-194</f>
        <v>848.02</v>
      </c>
      <c r="L72" s="314">
        <f>F72/194*100</f>
        <v>537.1237113402062</v>
      </c>
      <c r="M72" s="311">
        <f>E72-травень!E72</f>
        <v>500</v>
      </c>
      <c r="N72" s="334">
        <f>F72-травень!F72</f>
        <v>0.049999999999954525</v>
      </c>
      <c r="O72" s="314">
        <f aca="true" t="shared" si="15" ref="O72:O85">N72-M72</f>
        <v>-499.95000000000005</v>
      </c>
      <c r="P72" s="314">
        <f>N72/M72*100</f>
        <v>0.009999999999990905</v>
      </c>
      <c r="Q72" s="363"/>
      <c r="R72" s="365"/>
    </row>
    <row r="73" spans="1:18" ht="18">
      <c r="A73" s="359"/>
      <c r="B73" s="145" t="s">
        <v>31</v>
      </c>
      <c r="C73" s="369">
        <v>33010000</v>
      </c>
      <c r="D73" s="367">
        <v>7459</v>
      </c>
      <c r="E73" s="367">
        <v>2233.71</v>
      </c>
      <c r="F73" s="409">
        <v>936.04</v>
      </c>
      <c r="G73" s="310">
        <f t="shared" si="13"/>
        <v>-1297.67</v>
      </c>
      <c r="H73" s="311">
        <f>F73/E73*100</f>
        <v>41.90517121739169</v>
      </c>
      <c r="I73" s="314">
        <f t="shared" si="14"/>
        <v>-6522.96</v>
      </c>
      <c r="J73" s="314">
        <f>F73/D73*100</f>
        <v>12.549135272824774</v>
      </c>
      <c r="K73" s="314">
        <f>F73-3257.07</f>
        <v>-2321.03</v>
      </c>
      <c r="L73" s="314">
        <f>F73/3257.07*100</f>
        <v>28.738713015071827</v>
      </c>
      <c r="M73" s="311">
        <f>E73-травень!E73</f>
        <v>282.60000000000014</v>
      </c>
      <c r="N73" s="334">
        <f>F73-травень!F73</f>
        <v>66.80999999999995</v>
      </c>
      <c r="O73" s="314">
        <f t="shared" si="15"/>
        <v>-215.7900000000002</v>
      </c>
      <c r="P73" s="314">
        <f>N73/M73*100</f>
        <v>23.641188959660266</v>
      </c>
      <c r="Q73" s="363"/>
      <c r="R73" s="365"/>
    </row>
    <row r="74" spans="1:18" ht="30.75">
      <c r="A74" s="359"/>
      <c r="B74" s="145" t="s">
        <v>55</v>
      </c>
      <c r="C74" s="369">
        <v>24170000</v>
      </c>
      <c r="D74" s="367">
        <v>6000</v>
      </c>
      <c r="E74" s="367">
        <v>1792.85</v>
      </c>
      <c r="F74" s="409">
        <v>9374.51</v>
      </c>
      <c r="G74" s="310">
        <f t="shared" si="13"/>
        <v>7581.66</v>
      </c>
      <c r="H74" s="311">
        <f>F74/E74*100</f>
        <v>522.8831190562513</v>
      </c>
      <c r="I74" s="314">
        <f t="shared" si="14"/>
        <v>3374.51</v>
      </c>
      <c r="J74" s="314">
        <f>F74/D74*100</f>
        <v>156.24183333333335</v>
      </c>
      <c r="K74" s="314">
        <f>F74-1818.42</f>
        <v>7556.09</v>
      </c>
      <c r="L74" s="314">
        <f>F74/1818.42*100</f>
        <v>515.5305155024691</v>
      </c>
      <c r="M74" s="311">
        <f>E74-травень!E74</f>
        <v>302</v>
      </c>
      <c r="N74" s="334">
        <f>F74-травень!F74</f>
        <v>261.1200000000008</v>
      </c>
      <c r="O74" s="314">
        <f t="shared" si="15"/>
        <v>-40.8799999999992</v>
      </c>
      <c r="P74" s="314">
        <f>N74/M74*100</f>
        <v>86.46357615894065</v>
      </c>
      <c r="Q74" s="363"/>
      <c r="R74" s="365"/>
    </row>
    <row r="75" spans="1:18" ht="18">
      <c r="A75" s="359"/>
      <c r="B75" s="145" t="s">
        <v>113</v>
      </c>
      <c r="C75" s="369">
        <v>24110700</v>
      </c>
      <c r="D75" s="367">
        <v>12</v>
      </c>
      <c r="E75" s="367">
        <v>6</v>
      </c>
      <c r="F75" s="409">
        <v>6</v>
      </c>
      <c r="G75" s="310">
        <f t="shared" si="13"/>
        <v>0</v>
      </c>
      <c r="H75" s="311">
        <f>F75/E75*100</f>
        <v>100</v>
      </c>
      <c r="I75" s="314">
        <f t="shared" si="14"/>
        <v>-6</v>
      </c>
      <c r="J75" s="314">
        <f>F75/D75*100</f>
        <v>50</v>
      </c>
      <c r="K75" s="314">
        <f>F75-0</f>
        <v>6</v>
      </c>
      <c r="L75" s="314"/>
      <c r="M75" s="311">
        <f>E75-травень!E75</f>
        <v>1</v>
      </c>
      <c r="N75" s="334">
        <f>F75-травень!F75</f>
        <v>1</v>
      </c>
      <c r="O75" s="314">
        <f t="shared" si="15"/>
        <v>0</v>
      </c>
      <c r="P75" s="314">
        <f>N75/M75*100</f>
        <v>100</v>
      </c>
      <c r="Q75" s="363"/>
      <c r="R75" s="379"/>
    </row>
    <row r="76" spans="1:18" ht="32.25">
      <c r="A76" s="359"/>
      <c r="B76" s="370" t="s">
        <v>52</v>
      </c>
      <c r="C76" s="380"/>
      <c r="D76" s="372">
        <f>D72+D73+D74+D75</f>
        <v>17671</v>
      </c>
      <c r="E76" s="372">
        <f>E72+E73+E74+E75</f>
        <v>5445.5599999999995</v>
      </c>
      <c r="F76" s="410">
        <f>F72+F73+F74+F75</f>
        <v>11358.57</v>
      </c>
      <c r="G76" s="373">
        <f t="shared" si="13"/>
        <v>5913.01</v>
      </c>
      <c r="H76" s="374">
        <f>F76/E76*100</f>
        <v>208.5840574706734</v>
      </c>
      <c r="I76" s="375">
        <f t="shared" si="14"/>
        <v>-6312.43</v>
      </c>
      <c r="J76" s="375">
        <f>F76/D76*100</f>
        <v>64.27802614453059</v>
      </c>
      <c r="K76" s="375">
        <f>F76-5269.49</f>
        <v>6089.08</v>
      </c>
      <c r="L76" s="375">
        <f>F76/5269.49*100</f>
        <v>215.553497587053</v>
      </c>
      <c r="M76" s="373">
        <f>M72+M73+M74+M75</f>
        <v>1085.6000000000001</v>
      </c>
      <c r="N76" s="381">
        <f>N72+N73+N74+N75</f>
        <v>328.9800000000007</v>
      </c>
      <c r="O76" s="375">
        <f t="shared" si="15"/>
        <v>-756.6199999999994</v>
      </c>
      <c r="P76" s="375">
        <f>N76/M76*100</f>
        <v>30.30397936624914</v>
      </c>
      <c r="Q76" s="377"/>
      <c r="R76" s="382"/>
    </row>
    <row r="77" spans="1:18" ht="46.5">
      <c r="A77" s="359"/>
      <c r="B77" s="12" t="s">
        <v>41</v>
      </c>
      <c r="C77" s="383">
        <v>24062100</v>
      </c>
      <c r="D77" s="367">
        <v>1</v>
      </c>
      <c r="E77" s="367">
        <v>0</v>
      </c>
      <c r="F77" s="409">
        <v>5.19</v>
      </c>
      <c r="G77" s="310">
        <f t="shared" si="13"/>
        <v>5.19</v>
      </c>
      <c r="H77" s="311"/>
      <c r="I77" s="314">
        <f t="shared" si="14"/>
        <v>4.19</v>
      </c>
      <c r="J77" s="314"/>
      <c r="K77" s="314">
        <f>F77-0</f>
        <v>5.19</v>
      </c>
      <c r="L77" s="314"/>
      <c r="M77" s="311">
        <f>E77-травень!E77</f>
        <v>0</v>
      </c>
      <c r="N77" s="334">
        <f>F77-травень!F77</f>
        <v>0.79</v>
      </c>
      <c r="O77" s="314">
        <f t="shared" si="15"/>
        <v>0.79</v>
      </c>
      <c r="P77" s="314"/>
      <c r="Q77" s="363"/>
      <c r="R77" s="365"/>
    </row>
    <row r="78" spans="1:18" ht="18" hidden="1">
      <c r="A78" s="359"/>
      <c r="B78" s="145" t="s">
        <v>53</v>
      </c>
      <c r="C78" s="369">
        <v>24061600</v>
      </c>
      <c r="D78" s="367">
        <v>0</v>
      </c>
      <c r="E78" s="367">
        <v>0</v>
      </c>
      <c r="F78" s="409">
        <v>0</v>
      </c>
      <c r="G78" s="310">
        <f t="shared" si="13"/>
        <v>0</v>
      </c>
      <c r="H78" s="311"/>
      <c r="I78" s="314">
        <f t="shared" si="14"/>
        <v>0</v>
      </c>
      <c r="J78" s="384"/>
      <c r="K78" s="314">
        <f>F78-0</f>
        <v>0</v>
      </c>
      <c r="L78" s="314">
        <f>F78/19.48*100</f>
        <v>0</v>
      </c>
      <c r="M78" s="311">
        <f>E78-травень!E78</f>
        <v>0</v>
      </c>
      <c r="N78" s="334">
        <f>F78-травень!F78</f>
        <v>0</v>
      </c>
      <c r="O78" s="314">
        <f t="shared" si="15"/>
        <v>0</v>
      </c>
      <c r="P78" s="384"/>
      <c r="Q78" s="385"/>
      <c r="R78" s="386"/>
    </row>
    <row r="79" spans="1:18" ht="18">
      <c r="A79" s="359"/>
      <c r="B79" s="145" t="s">
        <v>47</v>
      </c>
      <c r="C79" s="369">
        <v>19010000</v>
      </c>
      <c r="D79" s="367">
        <v>9500</v>
      </c>
      <c r="E79" s="367">
        <v>5117.3</v>
      </c>
      <c r="F79" s="409">
        <v>4890.44</v>
      </c>
      <c r="G79" s="310">
        <f t="shared" si="13"/>
        <v>-226.86000000000058</v>
      </c>
      <c r="H79" s="311">
        <f>F79/E79*100</f>
        <v>95.5668028061673</v>
      </c>
      <c r="I79" s="314">
        <f t="shared" si="14"/>
        <v>-4609.56</v>
      </c>
      <c r="J79" s="314">
        <f>F79/D79*100</f>
        <v>51.47831578947368</v>
      </c>
      <c r="K79" s="314">
        <f>F79-0</f>
        <v>4890.44</v>
      </c>
      <c r="L79" s="314"/>
      <c r="M79" s="311">
        <f>E79-травень!E79</f>
        <v>0.3000000000001819</v>
      </c>
      <c r="N79" s="334">
        <f>F79-травень!F79</f>
        <v>2.6699999999991633</v>
      </c>
      <c r="O79" s="314">
        <f>N79-M79</f>
        <v>2.3699999999989814</v>
      </c>
      <c r="P79" s="384">
        <f>N79/M79*100</f>
        <v>889.9999999991815</v>
      </c>
      <c r="Q79" s="385"/>
      <c r="R79" s="386"/>
    </row>
    <row r="80" spans="1:18" ht="30.75">
      <c r="A80" s="359"/>
      <c r="B80" s="145" t="s">
        <v>51</v>
      </c>
      <c r="C80" s="369">
        <v>19050000</v>
      </c>
      <c r="D80" s="367">
        <v>0</v>
      </c>
      <c r="E80" s="367"/>
      <c r="F80" s="409">
        <v>0.81</v>
      </c>
      <c r="G80" s="310">
        <f t="shared" si="13"/>
        <v>0.81</v>
      </c>
      <c r="H80" s="311"/>
      <c r="I80" s="314">
        <f t="shared" si="14"/>
        <v>0.81</v>
      </c>
      <c r="J80" s="314"/>
      <c r="K80" s="314">
        <f>F80-1.06</f>
        <v>-0.25</v>
      </c>
      <c r="L80" s="314">
        <f>F80/1.06*100</f>
        <v>76.41509433962264</v>
      </c>
      <c r="M80" s="311">
        <f>E80-травень!E80</f>
        <v>0</v>
      </c>
      <c r="N80" s="334">
        <f>F80-травень!F80</f>
        <v>0.1200000000000001</v>
      </c>
      <c r="O80" s="314">
        <f t="shared" si="15"/>
        <v>0.1200000000000001</v>
      </c>
      <c r="P80" s="314"/>
      <c r="Q80" s="363"/>
      <c r="R80" s="365"/>
    </row>
    <row r="81" spans="1:18" ht="30">
      <c r="A81" s="359"/>
      <c r="B81" s="370" t="s">
        <v>48</v>
      </c>
      <c r="C81" s="369"/>
      <c r="D81" s="372">
        <f>D77+D80+D78+D79</f>
        <v>9501</v>
      </c>
      <c r="E81" s="372">
        <f>E77+E80+E78+E79</f>
        <v>5117.3</v>
      </c>
      <c r="F81" s="410">
        <f>F77+F80+F78+F79</f>
        <v>4896.44</v>
      </c>
      <c r="G81" s="372">
        <f>G77+G80+G78+G79</f>
        <v>-220.86000000000058</v>
      </c>
      <c r="H81" s="374">
        <f>F81/E81*100</f>
        <v>95.68405213686904</v>
      </c>
      <c r="I81" s="375">
        <f t="shared" si="14"/>
        <v>-4604.56</v>
      </c>
      <c r="J81" s="375">
        <f>F81/D81*100</f>
        <v>51.53604883696452</v>
      </c>
      <c r="K81" s="375">
        <f>F81-1.06</f>
        <v>4895.379999999999</v>
      </c>
      <c r="L81" s="375">
        <f>F81/1.06*100</f>
        <v>461928.30188679235</v>
      </c>
      <c r="M81" s="373">
        <f>M77+M80+M78+M79</f>
        <v>0.3000000000001819</v>
      </c>
      <c r="N81" s="381">
        <f>N77+N80+N78+N79</f>
        <v>3.5799999999991634</v>
      </c>
      <c r="O81" s="373">
        <f>O77+O80+O78+O79</f>
        <v>3.2799999999989815</v>
      </c>
      <c r="P81" s="375">
        <f>N81/M81*100</f>
        <v>1193.333333332331</v>
      </c>
      <c r="Q81" s="377"/>
      <c r="R81" s="354"/>
    </row>
    <row r="82" spans="1:18" ht="30.75">
      <c r="A82" s="359"/>
      <c r="B82" s="12" t="s">
        <v>42</v>
      </c>
      <c r="C82" s="48">
        <v>24110900</v>
      </c>
      <c r="D82" s="367">
        <v>43</v>
      </c>
      <c r="E82" s="367">
        <v>19.7</v>
      </c>
      <c r="F82" s="409">
        <v>18.25</v>
      </c>
      <c r="G82" s="310">
        <f t="shared" si="13"/>
        <v>-1.4499999999999993</v>
      </c>
      <c r="H82" s="311">
        <f>F82/E82*100</f>
        <v>92.63959390862945</v>
      </c>
      <c r="I82" s="314">
        <f t="shared" si="14"/>
        <v>-24.75</v>
      </c>
      <c r="J82" s="314">
        <f>F82/D82*100</f>
        <v>42.44186046511628</v>
      </c>
      <c r="K82" s="314">
        <f>F82-19.94</f>
        <v>-1.6900000000000013</v>
      </c>
      <c r="L82" s="314">
        <f>F82/19.94*100</f>
        <v>91.52457372116348</v>
      </c>
      <c r="M82" s="311">
        <f>E82-травень!E82</f>
        <v>5.899999999999999</v>
      </c>
      <c r="N82" s="334">
        <f>F82-травень!F82</f>
        <v>9.06</v>
      </c>
      <c r="O82" s="314">
        <f t="shared" si="15"/>
        <v>3.160000000000002</v>
      </c>
      <c r="P82" s="314">
        <f>N82/M82</f>
        <v>1.5355932203389835</v>
      </c>
      <c r="Q82" s="363"/>
      <c r="R82" s="365"/>
    </row>
    <row r="83" spans="1:18" ht="18" hidden="1">
      <c r="A83" s="359"/>
      <c r="B83" s="137"/>
      <c r="C83" s="48"/>
      <c r="D83" s="367"/>
      <c r="E83" s="367"/>
      <c r="F83" s="409"/>
      <c r="G83" s="310"/>
      <c r="H83" s="311"/>
      <c r="I83" s="314"/>
      <c r="J83" s="314"/>
      <c r="K83" s="314">
        <f>F83-0</f>
        <v>0</v>
      </c>
      <c r="L83" s="314"/>
      <c r="M83" s="311">
        <f>E83-лютий!E78</f>
        <v>0</v>
      </c>
      <c r="N83" s="334">
        <f>F83-лютий!F78</f>
        <v>0</v>
      </c>
      <c r="O83" s="314">
        <f t="shared" si="15"/>
        <v>0</v>
      </c>
      <c r="P83" s="314"/>
      <c r="Q83" s="363"/>
      <c r="R83" s="365"/>
    </row>
    <row r="84" spans="1:18" ht="23.25" customHeight="1">
      <c r="A84" s="359"/>
      <c r="B84" s="14" t="s">
        <v>32</v>
      </c>
      <c r="C84" s="387"/>
      <c r="D84" s="388">
        <f>D70+D82+D76+D81</f>
        <v>27215</v>
      </c>
      <c r="E84" s="388">
        <f>E70+E82+E76+E81</f>
        <v>10582.56</v>
      </c>
      <c r="F84" s="410">
        <f>F70+F82+F76+F81+F83</f>
        <v>16270.969999999998</v>
      </c>
      <c r="G84" s="389">
        <f>F84-E84</f>
        <v>5688.409999999998</v>
      </c>
      <c r="H84" s="390">
        <f>F84/E84*100</f>
        <v>153.75268366066433</v>
      </c>
      <c r="I84" s="391">
        <f>F84-D84</f>
        <v>-10944.030000000002</v>
      </c>
      <c r="J84" s="391">
        <f>F84/D84*100</f>
        <v>59.78677200073488</v>
      </c>
      <c r="K84" s="391">
        <f>F84-5259.67</f>
        <v>11011.299999999997</v>
      </c>
      <c r="L84" s="391">
        <f>F84/5259.67*100</f>
        <v>309.3534385237096</v>
      </c>
      <c r="M84" s="388">
        <f>M70+M82+M76+M81</f>
        <v>1091.8000000000004</v>
      </c>
      <c r="N84" s="388">
        <f>N70+N82+N76+N81+N83</f>
        <v>339.58999999999986</v>
      </c>
      <c r="O84" s="391">
        <f t="shared" si="15"/>
        <v>-752.2100000000005</v>
      </c>
      <c r="P84" s="391">
        <f>N84/M84*100</f>
        <v>31.103681993038997</v>
      </c>
      <c r="Q84" s="345">
        <f>N84-8104.96</f>
        <v>-7765.37</v>
      </c>
      <c r="R84" s="392">
        <f>N84/8104.96</f>
        <v>0.04189903466519265</v>
      </c>
    </row>
    <row r="85" spans="1:18" ht="17.25">
      <c r="A85" s="359"/>
      <c r="B85" s="393" t="s">
        <v>33</v>
      </c>
      <c r="C85" s="387"/>
      <c r="D85" s="388">
        <f>D63+D84</f>
        <v>911115.6</v>
      </c>
      <c r="E85" s="388">
        <f>E63+E84</f>
        <v>452328.56999999995</v>
      </c>
      <c r="F85" s="410">
        <f>F63+F84</f>
        <v>511056.97</v>
      </c>
      <c r="G85" s="389">
        <f>F85-E85</f>
        <v>58728.40000000002</v>
      </c>
      <c r="H85" s="390">
        <f>F85/E85*100</f>
        <v>112.98357077024784</v>
      </c>
      <c r="I85" s="391">
        <f>F85-D85</f>
        <v>-400058.63</v>
      </c>
      <c r="J85" s="391">
        <f>F85/D85*100</f>
        <v>56.09134230606961</v>
      </c>
      <c r="K85" s="391">
        <f>F85-320998.67-5259.67</f>
        <v>184798.62999999998</v>
      </c>
      <c r="L85" s="391">
        <f>F85/(265734.15+4325.48)*100</f>
        <v>189.23856557161096</v>
      </c>
      <c r="M85" s="389">
        <f>M63+M84</f>
        <v>72584.4</v>
      </c>
      <c r="N85" s="389">
        <f>N63+N84</f>
        <v>97276.3</v>
      </c>
      <c r="O85" s="391">
        <f t="shared" si="15"/>
        <v>24691.90000000001</v>
      </c>
      <c r="P85" s="391">
        <f>N85/M85*100</f>
        <v>134.0181912366845</v>
      </c>
      <c r="Q85" s="345">
        <f>N85-42872.96</f>
        <v>54403.340000000004</v>
      </c>
      <c r="R85" s="392">
        <f>N85/42872.96</f>
        <v>2.2689429421248266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39"/>
      <c r="H88" s="439"/>
      <c r="I88" s="439"/>
      <c r="J88" s="439"/>
      <c r="K88" s="90"/>
      <c r="L88" s="90"/>
      <c r="P88" s="26"/>
      <c r="Q88" s="26"/>
    </row>
    <row r="89" spans="2:15" ht="34.5" customHeight="1">
      <c r="B89" s="58" t="s">
        <v>56</v>
      </c>
      <c r="C89" s="87">
        <v>42551</v>
      </c>
      <c r="D89" s="31">
        <v>27978.6</v>
      </c>
      <c r="G89" s="4" t="s">
        <v>59</v>
      </c>
      <c r="N89" s="440"/>
      <c r="O89" s="440"/>
    </row>
    <row r="90" spans="3:15" ht="15">
      <c r="C90" s="87">
        <v>42550</v>
      </c>
      <c r="D90" s="31">
        <v>11029.3</v>
      </c>
      <c r="F90" s="124" t="s">
        <v>59</v>
      </c>
      <c r="G90" s="441"/>
      <c r="H90" s="441"/>
      <c r="I90" s="131"/>
      <c r="J90" s="442"/>
      <c r="K90" s="442"/>
      <c r="L90" s="442"/>
      <c r="M90" s="442"/>
      <c r="N90" s="440"/>
      <c r="O90" s="440"/>
    </row>
    <row r="91" spans="3:15" ht="15.75" customHeight="1">
      <c r="C91" s="87">
        <v>42545</v>
      </c>
      <c r="D91" s="31">
        <v>6499.7</v>
      </c>
      <c r="F91" s="73"/>
      <c r="G91" s="441"/>
      <c r="H91" s="441"/>
      <c r="I91" s="131"/>
      <c r="J91" s="443"/>
      <c r="K91" s="443"/>
      <c r="L91" s="443"/>
      <c r="M91" s="443"/>
      <c r="N91" s="440"/>
      <c r="O91" s="440"/>
    </row>
    <row r="92" spans="3:13" ht="15.75" customHeight="1">
      <c r="C92" s="87"/>
      <c r="F92" s="73"/>
      <c r="G92" s="447"/>
      <c r="H92" s="447"/>
      <c r="I92" s="139"/>
      <c r="J92" s="442"/>
      <c r="K92" s="442"/>
      <c r="L92" s="442"/>
      <c r="M92" s="442"/>
    </row>
    <row r="93" spans="2:13" ht="18.75" customHeight="1">
      <c r="B93" s="448" t="s">
        <v>57</v>
      </c>
      <c r="C93" s="449"/>
      <c r="D93" s="148">
        <v>9447.89588</v>
      </c>
      <c r="E93" s="74"/>
      <c r="F93" s="140" t="s">
        <v>137</v>
      </c>
      <c r="G93" s="441"/>
      <c r="H93" s="441"/>
      <c r="I93" s="141"/>
      <c r="J93" s="442"/>
      <c r="K93" s="442"/>
      <c r="L93" s="442"/>
      <c r="M93" s="442"/>
    </row>
    <row r="94" spans="6:12" ht="9.75" customHeight="1">
      <c r="F94" s="73"/>
      <c r="G94" s="441"/>
      <c r="H94" s="441"/>
      <c r="I94" s="73"/>
      <c r="J94" s="74"/>
      <c r="K94" s="74"/>
      <c r="L94" s="74"/>
    </row>
    <row r="95" spans="2:12" ht="22.5" customHeight="1">
      <c r="B95" s="444" t="s">
        <v>60</v>
      </c>
      <c r="C95" s="445"/>
      <c r="D95" s="86">
        <v>0</v>
      </c>
      <c r="E95" s="56" t="s">
        <v>24</v>
      </c>
      <c r="F95" s="73"/>
      <c r="G95" s="441"/>
      <c r="H95" s="441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710</v>
      </c>
      <c r="F96" s="73">
        <f>F44+F47+F48</f>
        <v>245.54</v>
      </c>
      <c r="G96" s="73">
        <f>G44+G47+G48</f>
        <v>-464.46</v>
      </c>
      <c r="H96" s="74"/>
      <c r="I96" s="74"/>
      <c r="M96" s="31">
        <f>M44+M47+M48</f>
        <v>142</v>
      </c>
      <c r="N96" s="246">
        <f>N44+N47+N48</f>
        <v>127.56</v>
      </c>
      <c r="O96" s="31">
        <f>O44+O47+O48</f>
        <v>-14.439999999999976</v>
      </c>
    </row>
    <row r="97" spans="4:15" ht="15">
      <c r="D97" s="83"/>
      <c r="I97" s="31"/>
      <c r="N97" s="446"/>
      <c r="O97" s="446"/>
    </row>
    <row r="98" spans="14:15" ht="15">
      <c r="N98" s="441"/>
      <c r="O98" s="441"/>
    </row>
    <row r="99" ht="15">
      <c r="N99" s="31"/>
    </row>
    <row r="102" ht="15">
      <c r="E102" s="4" t="s">
        <v>59</v>
      </c>
    </row>
  </sheetData>
  <sheetProtection/>
  <mergeCells count="37">
    <mergeCell ref="N98:O98"/>
    <mergeCell ref="G92:H92"/>
    <mergeCell ref="J92:M92"/>
    <mergeCell ref="B93:C93"/>
    <mergeCell ref="G93:H93"/>
    <mergeCell ref="J93:M93"/>
    <mergeCell ref="G94:H94"/>
    <mergeCell ref="G91:H91"/>
    <mergeCell ref="J91:M91"/>
    <mergeCell ref="N91:O91"/>
    <mergeCell ref="B95:C95"/>
    <mergeCell ref="G95:H95"/>
    <mergeCell ref="N97:O97"/>
    <mergeCell ref="G88:J88"/>
    <mergeCell ref="N89:O89"/>
    <mergeCell ref="G90:H90"/>
    <mergeCell ref="J90:M90"/>
    <mergeCell ref="N90:O90"/>
    <mergeCell ref="G4:G5"/>
    <mergeCell ref="H4:H5"/>
    <mergeCell ref="A1:P1"/>
    <mergeCell ref="A3:A5"/>
    <mergeCell ref="B3:B5"/>
    <mergeCell ref="C3:C5"/>
    <mergeCell ref="D3:D5"/>
    <mergeCell ref="F3:J3"/>
    <mergeCell ref="P4:P5"/>
    <mergeCell ref="K5:L5"/>
    <mergeCell ref="M3:M5"/>
    <mergeCell ref="N3:R3"/>
    <mergeCell ref="Q5:R5"/>
    <mergeCell ref="E4:E5"/>
    <mergeCell ref="F4:F5"/>
    <mergeCell ref="I4:I5"/>
    <mergeCell ref="J4:J5"/>
    <mergeCell ref="N4:N5"/>
    <mergeCell ref="O4:O5"/>
  </mergeCell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7" zoomScaleNormal="87" zoomScalePageLayoutView="0" workbookViewId="0" topLeftCell="B1">
      <pane xSplit="2" ySplit="8" topLeftCell="E5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8" sqref="F5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13" t="s">
        <v>168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92"/>
      <c r="R1" s="93"/>
    </row>
    <row r="2" spans="2:18" s="1" customFormat="1" ht="15.75" customHeight="1">
      <c r="B2" s="453"/>
      <c r="C2" s="453"/>
      <c r="D2" s="453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5"/>
      <c r="B3" s="417"/>
      <c r="C3" s="418" t="s">
        <v>0</v>
      </c>
      <c r="D3" s="419" t="s">
        <v>121</v>
      </c>
      <c r="E3" s="34"/>
      <c r="F3" s="420" t="s">
        <v>26</v>
      </c>
      <c r="G3" s="421"/>
      <c r="H3" s="421"/>
      <c r="I3" s="421"/>
      <c r="J3" s="422"/>
      <c r="K3" s="89"/>
      <c r="L3" s="89"/>
      <c r="M3" s="423" t="s">
        <v>162</v>
      </c>
      <c r="N3" s="426" t="s">
        <v>163</v>
      </c>
      <c r="O3" s="426"/>
      <c r="P3" s="426"/>
      <c r="Q3" s="426"/>
      <c r="R3" s="426"/>
    </row>
    <row r="4" spans="1:18" ht="22.5" customHeight="1">
      <c r="A4" s="415"/>
      <c r="B4" s="417"/>
      <c r="C4" s="418"/>
      <c r="D4" s="419"/>
      <c r="E4" s="427" t="s">
        <v>158</v>
      </c>
      <c r="F4" s="454" t="s">
        <v>34</v>
      </c>
      <c r="G4" s="431" t="s">
        <v>159</v>
      </c>
      <c r="H4" s="424" t="s">
        <v>160</v>
      </c>
      <c r="I4" s="431" t="s">
        <v>122</v>
      </c>
      <c r="J4" s="424" t="s">
        <v>123</v>
      </c>
      <c r="K4" s="91" t="s">
        <v>65</v>
      </c>
      <c r="L4" s="96" t="s">
        <v>64</v>
      </c>
      <c r="M4" s="424"/>
      <c r="N4" s="433" t="s">
        <v>169</v>
      </c>
      <c r="O4" s="431" t="s">
        <v>50</v>
      </c>
      <c r="P4" s="435" t="s">
        <v>49</v>
      </c>
      <c r="Q4" s="97" t="s">
        <v>65</v>
      </c>
      <c r="R4" s="98" t="s">
        <v>64</v>
      </c>
    </row>
    <row r="5" spans="1:18" ht="78.75" customHeight="1">
      <c r="A5" s="416"/>
      <c r="B5" s="417"/>
      <c r="C5" s="418"/>
      <c r="D5" s="419"/>
      <c r="E5" s="428"/>
      <c r="F5" s="455"/>
      <c r="G5" s="432"/>
      <c r="H5" s="425"/>
      <c r="I5" s="432"/>
      <c r="J5" s="425"/>
      <c r="K5" s="436" t="s">
        <v>161</v>
      </c>
      <c r="L5" s="438"/>
      <c r="M5" s="425"/>
      <c r="N5" s="434"/>
      <c r="O5" s="432"/>
      <c r="P5" s="435"/>
      <c r="Q5" s="436" t="s">
        <v>120</v>
      </c>
      <c r="R5" s="43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352436.48</v>
      </c>
      <c r="F8" s="191">
        <f>F9+F15+F18+F19+F20+F36+F17</f>
        <v>374994.94999999995</v>
      </c>
      <c r="G8" s="191">
        <f aca="true" t="shared" si="0" ref="G8:G21">F8-E8</f>
        <v>22558.469999999972</v>
      </c>
      <c r="H8" s="192">
        <f>F8/E8*100</f>
        <v>106.40071935799608</v>
      </c>
      <c r="I8" s="193">
        <f>F8-D8</f>
        <v>-466055.05000000005</v>
      </c>
      <c r="J8" s="193">
        <f>F8/D8*100</f>
        <v>44.58652279888234</v>
      </c>
      <c r="K8" s="191">
        <f>F8-252732.09</f>
        <v>122262.85999999996</v>
      </c>
      <c r="L8" s="191">
        <f>F8/252732.09*100</f>
        <v>148.37646853630656</v>
      </c>
      <c r="M8" s="191">
        <f>M9+M15+M18+M19+M20+M36+M17</f>
        <v>80761.80000000002</v>
      </c>
      <c r="N8" s="191">
        <f>N9+N15+N18+N19+N20+N36+N17</f>
        <v>80864.32</v>
      </c>
      <c r="O8" s="191">
        <f>N8-M8</f>
        <v>102.51999999998952</v>
      </c>
      <c r="P8" s="191">
        <f>N8/M8*100</f>
        <v>100.12694120240013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f>179402.27+3500</f>
        <v>182902.27</v>
      </c>
      <c r="F9" s="196">
        <v>199100.92</v>
      </c>
      <c r="G9" s="190">
        <f t="shared" si="0"/>
        <v>16198.650000000023</v>
      </c>
      <c r="H9" s="197">
        <f>F9/E9*100</f>
        <v>108.8564510434999</v>
      </c>
      <c r="I9" s="198">
        <f>F9-D9</f>
        <v>-260599.08</v>
      </c>
      <c r="J9" s="198">
        <f>F9/D9*100</f>
        <v>43.31105503589298</v>
      </c>
      <c r="K9" s="199">
        <f>F9-138082.5</f>
        <v>61018.42000000001</v>
      </c>
      <c r="L9" s="199">
        <f>F9/138082.5*100</f>
        <v>144.18982854452955</v>
      </c>
      <c r="M9" s="197">
        <f>E9-квітень!E9</f>
        <v>37119</v>
      </c>
      <c r="N9" s="200">
        <f>F9-квітень!F9</f>
        <v>41063.120000000024</v>
      </c>
      <c r="O9" s="201">
        <f>N9-M9</f>
        <v>3944.1200000000244</v>
      </c>
      <c r="P9" s="198">
        <f>N9/M9*100</f>
        <v>110.62560952611878</v>
      </c>
      <c r="Q9" s="106"/>
      <c r="R9" s="107"/>
    </row>
    <row r="10" spans="1:18" s="6" customFormat="1" ht="18">
      <c r="A10" s="8"/>
      <c r="B10" s="136" t="s">
        <v>93</v>
      </c>
      <c r="C10" s="108">
        <v>11010100</v>
      </c>
      <c r="D10" s="109">
        <v>411440</v>
      </c>
      <c r="E10" s="109">
        <f>160645.84+1200</f>
        <v>161845.84</v>
      </c>
      <c r="F10" s="171">
        <v>174168.33</v>
      </c>
      <c r="G10" s="109">
        <f t="shared" si="0"/>
        <v>12322.48999999999</v>
      </c>
      <c r="H10" s="32">
        <f aca="true" t="shared" si="1" ref="H10:H35">F10/E10*100</f>
        <v>107.61372056272809</v>
      </c>
      <c r="I10" s="110">
        <f aca="true" t="shared" si="2" ref="I10:I36">F10-D10</f>
        <v>-237271.67</v>
      </c>
      <c r="J10" s="110">
        <f aca="true" t="shared" si="3" ref="J10:J35">F10/D10*100</f>
        <v>42.33140433599066</v>
      </c>
      <c r="K10" s="112">
        <f>F10-122193.74</f>
        <v>51974.58999999998</v>
      </c>
      <c r="L10" s="112">
        <f>F10/122193.74*100</f>
        <v>142.5345766485255</v>
      </c>
      <c r="M10" s="111">
        <f>E10-квітень!E10</f>
        <v>30929</v>
      </c>
      <c r="N10" s="179">
        <f>F10-квітень!F10</f>
        <v>36352.34</v>
      </c>
      <c r="O10" s="112">
        <f aca="true" t="shared" si="4" ref="O10:O36">N10-M10</f>
        <v>5423.3399999999965</v>
      </c>
      <c r="P10" s="198">
        <f aca="true" t="shared" si="5" ref="P10:P16">N10/M10*100</f>
        <v>117.53480552232531</v>
      </c>
      <c r="Q10" s="42"/>
      <c r="R10" s="100"/>
    </row>
    <row r="11" spans="1:18" s="6" customFormat="1" ht="18">
      <c r="A11" s="8"/>
      <c r="B11" s="136" t="s">
        <v>89</v>
      </c>
      <c r="C11" s="108">
        <v>11010200</v>
      </c>
      <c r="D11" s="109">
        <v>23000</v>
      </c>
      <c r="E11" s="109">
        <f>10264.94+2300</f>
        <v>12564.94</v>
      </c>
      <c r="F11" s="171">
        <v>14679.25</v>
      </c>
      <c r="G11" s="109">
        <f t="shared" si="0"/>
        <v>2114.3099999999995</v>
      </c>
      <c r="H11" s="32">
        <f t="shared" si="1"/>
        <v>116.82706005758881</v>
      </c>
      <c r="I11" s="110">
        <f t="shared" si="2"/>
        <v>-8320.75</v>
      </c>
      <c r="J11" s="110">
        <f t="shared" si="3"/>
        <v>63.82282608695652</v>
      </c>
      <c r="K11" s="112">
        <f>F11-7771.39</f>
        <v>6907.86</v>
      </c>
      <c r="L11" s="112">
        <f>F11/7771.39*100</f>
        <v>188.88834558553876</v>
      </c>
      <c r="M11" s="111">
        <f>E11-квітень!E11</f>
        <v>3930</v>
      </c>
      <c r="N11" s="179">
        <f>F11-квітень!F11</f>
        <v>3191.709999999999</v>
      </c>
      <c r="O11" s="112">
        <f t="shared" si="4"/>
        <v>-738.2900000000009</v>
      </c>
      <c r="P11" s="198">
        <f t="shared" si="5"/>
        <v>81.21399491094145</v>
      </c>
      <c r="Q11" s="42"/>
      <c r="R11" s="100"/>
    </row>
    <row r="12" spans="1:18" s="6" customFormat="1" ht="18">
      <c r="A12" s="8"/>
      <c r="B12" s="136" t="s">
        <v>92</v>
      </c>
      <c r="C12" s="108">
        <v>11010400</v>
      </c>
      <c r="D12" s="109">
        <v>6500</v>
      </c>
      <c r="E12" s="109">
        <v>2220.61</v>
      </c>
      <c r="F12" s="171">
        <v>4583.23</v>
      </c>
      <c r="G12" s="109">
        <f t="shared" si="0"/>
        <v>2362.6199999999994</v>
      </c>
      <c r="H12" s="32">
        <f t="shared" si="1"/>
        <v>206.39508963753198</v>
      </c>
      <c r="I12" s="110">
        <f t="shared" si="2"/>
        <v>-1916.7700000000004</v>
      </c>
      <c r="J12" s="110">
        <f t="shared" si="3"/>
        <v>70.51123076923076</v>
      </c>
      <c r="K12" s="112">
        <f>F12-2169.03</f>
        <v>2414.1999999999994</v>
      </c>
      <c r="L12" s="112">
        <f>F12/2169.03*100</f>
        <v>211.30320926865923</v>
      </c>
      <c r="M12" s="111">
        <f>E12-квітень!E12</f>
        <v>530.0000000000002</v>
      </c>
      <c r="N12" s="179">
        <f>F12-квітень!F12</f>
        <v>486.7999999999993</v>
      </c>
      <c r="O12" s="112">
        <f t="shared" si="4"/>
        <v>-43.200000000000955</v>
      </c>
      <c r="P12" s="198">
        <f t="shared" si="5"/>
        <v>91.8490566037734</v>
      </c>
      <c r="Q12" s="42"/>
      <c r="R12" s="100"/>
    </row>
    <row r="13" spans="1:18" s="6" customFormat="1" ht="18">
      <c r="A13" s="8"/>
      <c r="B13" s="136" t="s">
        <v>90</v>
      </c>
      <c r="C13" s="108">
        <v>11010500</v>
      </c>
      <c r="D13" s="109">
        <v>12400</v>
      </c>
      <c r="E13" s="109">
        <v>3764.84</v>
      </c>
      <c r="F13" s="171">
        <v>3763.44</v>
      </c>
      <c r="G13" s="109">
        <f t="shared" si="0"/>
        <v>-1.400000000000091</v>
      </c>
      <c r="H13" s="32">
        <f t="shared" si="1"/>
        <v>99.96281382475749</v>
      </c>
      <c r="I13" s="110">
        <f t="shared" si="2"/>
        <v>-8636.56</v>
      </c>
      <c r="J13" s="110">
        <f t="shared" si="3"/>
        <v>30.350322580645162</v>
      </c>
      <c r="K13" s="112">
        <f>F13-2303.67</f>
        <v>1459.77</v>
      </c>
      <c r="L13" s="112">
        <f>F13/2303.67*100</f>
        <v>163.36714894060347</v>
      </c>
      <c r="M13" s="111">
        <f>E13-квітень!E13</f>
        <v>1100</v>
      </c>
      <c r="N13" s="179">
        <f>F13-квітень!F13</f>
        <v>551.96</v>
      </c>
      <c r="O13" s="112">
        <f t="shared" si="4"/>
        <v>-548.04</v>
      </c>
      <c r="P13" s="198">
        <f t="shared" si="5"/>
        <v>50.17818181818182</v>
      </c>
      <c r="Q13" s="42"/>
      <c r="R13" s="100"/>
    </row>
    <row r="14" spans="1:18" s="6" customFormat="1" ht="18">
      <c r="A14" s="8"/>
      <c r="B14" s="136" t="s">
        <v>91</v>
      </c>
      <c r="C14" s="108">
        <v>11010900</v>
      </c>
      <c r="D14" s="109">
        <v>6360</v>
      </c>
      <c r="E14" s="109">
        <v>2506.04</v>
      </c>
      <c r="F14" s="171">
        <v>1906.68</v>
      </c>
      <c r="G14" s="109">
        <f t="shared" si="0"/>
        <v>-599.3599999999999</v>
      </c>
      <c r="H14" s="32">
        <f t="shared" si="1"/>
        <v>76.0833825477646</v>
      </c>
      <c r="I14" s="110">
        <f t="shared" si="2"/>
        <v>-4453.32</v>
      </c>
      <c r="J14" s="110">
        <f t="shared" si="3"/>
        <v>29.97924528301887</v>
      </c>
      <c r="K14" s="112">
        <f>F14-3644.66</f>
        <v>-1737.9799999999998</v>
      </c>
      <c r="L14" s="112">
        <f>F14/3644.66*100</f>
        <v>52.31434482228795</v>
      </c>
      <c r="M14" s="111">
        <f>E14-квітень!E14</f>
        <v>630</v>
      </c>
      <c r="N14" s="179">
        <f>F14-квітень!F14</f>
        <v>480.32000000000016</v>
      </c>
      <c r="O14" s="112">
        <f t="shared" si="4"/>
        <v>-149.67999999999984</v>
      </c>
      <c r="P14" s="198">
        <f t="shared" si="5"/>
        <v>76.24126984126987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235</v>
      </c>
      <c r="F15" s="196">
        <v>309.24</v>
      </c>
      <c r="G15" s="190">
        <f t="shared" si="0"/>
        <v>74.24000000000001</v>
      </c>
      <c r="H15" s="197">
        <f>F15/E15*100</f>
        <v>131.59148936170212</v>
      </c>
      <c r="I15" s="198">
        <f t="shared" si="2"/>
        <v>-190.76</v>
      </c>
      <c r="J15" s="198">
        <f t="shared" si="3"/>
        <v>61.848000000000006</v>
      </c>
      <c r="K15" s="201">
        <f>F15-(-880.74)</f>
        <v>1189.98</v>
      </c>
      <c r="L15" s="201">
        <f>F15/(-880.74)*100</f>
        <v>-35.11138360923769</v>
      </c>
      <c r="M15" s="197">
        <f>E15-квітень!E15</f>
        <v>115</v>
      </c>
      <c r="N15" s="200">
        <f>F15-квітень!F15</f>
        <v>123.4</v>
      </c>
      <c r="O15" s="201">
        <f t="shared" si="4"/>
        <v>8.400000000000006</v>
      </c>
      <c r="P15" s="198">
        <f t="shared" si="5"/>
        <v>107.30434782608695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E16-квітень!E16</f>
        <v>0</v>
      </c>
      <c r="N16" s="200">
        <f>F16-квітень!F16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E17-квітень!E17</f>
        <v>0</v>
      </c>
      <c r="N17" s="200">
        <f>F17-квітень!F17</f>
        <v>0.12000000000000001</v>
      </c>
      <c r="O17" s="207">
        <f t="shared" si="4"/>
        <v>0.12000000000000001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E18-квітень!E18</f>
        <v>0</v>
      </c>
      <c r="N18" s="200">
        <f>F18-квітень!F18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38060.4</v>
      </c>
      <c r="F19" s="196">
        <v>35230.56</v>
      </c>
      <c r="G19" s="190">
        <f t="shared" si="0"/>
        <v>-2829.840000000004</v>
      </c>
      <c r="H19" s="197">
        <f t="shared" si="1"/>
        <v>92.56487057414004</v>
      </c>
      <c r="I19" s="198">
        <f t="shared" si="2"/>
        <v>-74669.44</v>
      </c>
      <c r="J19" s="198">
        <f t="shared" si="3"/>
        <v>32.056924476797086</v>
      </c>
      <c r="K19" s="209">
        <f>F19-23140.48</f>
        <v>12090.079999999998</v>
      </c>
      <c r="L19" s="209">
        <f>F19/23140.48*100</f>
        <v>152.2464529689963</v>
      </c>
      <c r="M19" s="197">
        <f>E19-квітень!E19</f>
        <v>9500</v>
      </c>
      <c r="N19" s="200">
        <f>F19-квітень!F19</f>
        <v>9211.929999999997</v>
      </c>
      <c r="O19" s="201">
        <f t="shared" si="4"/>
        <v>-288.07000000000335</v>
      </c>
      <c r="P19" s="198">
        <f aca="true" t="shared" si="6" ref="P19:P24">N19/M19*100</f>
        <v>96.96768421052629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131228.81</v>
      </c>
      <c r="F20" s="210">
        <f>F21+F29+F31+F30</f>
        <v>140248.25999999998</v>
      </c>
      <c r="G20" s="190">
        <f t="shared" si="0"/>
        <v>9019.449999999983</v>
      </c>
      <c r="H20" s="197">
        <f t="shared" si="1"/>
        <v>106.87307154579851</v>
      </c>
      <c r="I20" s="198">
        <f t="shared" si="2"/>
        <v>-130691.74000000002</v>
      </c>
      <c r="J20" s="198">
        <f t="shared" si="3"/>
        <v>51.76358603380822</v>
      </c>
      <c r="K20" s="198">
        <f>F20-88353.34</f>
        <v>51894.919999999984</v>
      </c>
      <c r="L20" s="198">
        <f>F20/88353.34*100</f>
        <v>158.73566296418446</v>
      </c>
      <c r="M20" s="197">
        <f>M21+M29+M30+M31</f>
        <v>34027.80000000001</v>
      </c>
      <c r="N20" s="200">
        <f>F20-квітень!F20</f>
        <v>30465.749999999985</v>
      </c>
      <c r="O20" s="201">
        <f t="shared" si="4"/>
        <v>-3562.0500000000247</v>
      </c>
      <c r="P20" s="198">
        <f t="shared" si="6"/>
        <v>89.53194153016057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65096.26</v>
      </c>
      <c r="F21" s="211">
        <f>F22+F25+F26</f>
        <v>71540.14</v>
      </c>
      <c r="G21" s="190">
        <f t="shared" si="0"/>
        <v>6443.879999999997</v>
      </c>
      <c r="H21" s="197">
        <f t="shared" si="1"/>
        <v>109.8990018781417</v>
      </c>
      <c r="I21" s="198">
        <f t="shared" si="2"/>
        <v>-89859.86</v>
      </c>
      <c r="J21" s="198">
        <f t="shared" si="3"/>
        <v>44.32474597273854</v>
      </c>
      <c r="K21" s="198">
        <f>F21-45791.35</f>
        <v>25748.79</v>
      </c>
      <c r="L21" s="198">
        <f>F21/45791.35*100</f>
        <v>156.2306854897268</v>
      </c>
      <c r="M21" s="197">
        <f>M22+M25+M26</f>
        <v>13410</v>
      </c>
      <c r="N21" s="200">
        <f>F21-квітень!F21</f>
        <v>13503.89</v>
      </c>
      <c r="O21" s="201">
        <f t="shared" si="4"/>
        <v>93.88999999999942</v>
      </c>
      <c r="P21" s="198">
        <f t="shared" si="6"/>
        <v>100.70014914243102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f>6871.6+1500</f>
        <v>8371.6</v>
      </c>
      <c r="F22" s="213">
        <v>8640.15</v>
      </c>
      <c r="G22" s="212">
        <f aca="true" t="shared" si="7" ref="G22:G29">F22-E22</f>
        <v>268.5499999999993</v>
      </c>
      <c r="H22" s="214">
        <f t="shared" si="1"/>
        <v>103.20786946342395</v>
      </c>
      <c r="I22" s="215">
        <f t="shared" si="2"/>
        <v>-9859.85</v>
      </c>
      <c r="J22" s="215">
        <f t="shared" si="3"/>
        <v>46.70351351351351</v>
      </c>
      <c r="K22" s="216">
        <f>F22-4439.46</f>
        <v>4200.69</v>
      </c>
      <c r="L22" s="216">
        <f>F22/4439.46*100</f>
        <v>194.62164317281832</v>
      </c>
      <c r="M22" s="214">
        <f>E22-квітень!E22</f>
        <v>1740</v>
      </c>
      <c r="N22" s="217">
        <f>F22-квітень!F22</f>
        <v>226.9400000000005</v>
      </c>
      <c r="O22" s="218">
        <f t="shared" si="4"/>
        <v>-1513.0599999999995</v>
      </c>
      <c r="P22" s="215">
        <f t="shared" si="6"/>
        <v>13.042528735632214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349.1</v>
      </c>
      <c r="F23" s="203">
        <v>263.65</v>
      </c>
      <c r="G23" s="241">
        <f t="shared" si="7"/>
        <v>-85.45000000000005</v>
      </c>
      <c r="H23" s="242">
        <f t="shared" si="1"/>
        <v>75.52277284445717</v>
      </c>
      <c r="I23" s="243">
        <f t="shared" si="2"/>
        <v>-1736.35</v>
      </c>
      <c r="J23" s="243">
        <f t="shared" si="3"/>
        <v>13.1825</v>
      </c>
      <c r="K23" s="244">
        <f>F23-230.02</f>
        <v>33.62999999999997</v>
      </c>
      <c r="L23" s="244">
        <f>F23/230.02*100</f>
        <v>114.62046778540996</v>
      </c>
      <c r="M23" s="239">
        <f>E23-309.1</f>
        <v>40</v>
      </c>
      <c r="N23" s="239">
        <f>F23-252.55</f>
        <v>11.099999999999966</v>
      </c>
      <c r="O23" s="240">
        <f t="shared" si="4"/>
        <v>-28.900000000000034</v>
      </c>
      <c r="P23" s="240">
        <f t="shared" si="6"/>
        <v>27.749999999999915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f>6522.5+1500</f>
        <v>8022.5</v>
      </c>
      <c r="F24" s="203">
        <v>8376.5</v>
      </c>
      <c r="G24" s="241">
        <f t="shared" si="7"/>
        <v>354</v>
      </c>
      <c r="H24" s="242">
        <f t="shared" si="1"/>
        <v>104.41258959177313</v>
      </c>
      <c r="I24" s="243">
        <f t="shared" si="2"/>
        <v>-8123.5</v>
      </c>
      <c r="J24" s="243">
        <f t="shared" si="3"/>
        <v>50.76666666666667</v>
      </c>
      <c r="K24" s="244">
        <f>F24-4209.44</f>
        <v>4167.06</v>
      </c>
      <c r="L24" s="244">
        <f>F24/4209.44*100</f>
        <v>198.9932152495344</v>
      </c>
      <c r="M24" s="239">
        <f>E24-6322.5</f>
        <v>1700</v>
      </c>
      <c r="N24" s="239">
        <f>F24-8160.66</f>
        <v>215.84000000000015</v>
      </c>
      <c r="O24" s="240">
        <f t="shared" si="4"/>
        <v>-1484.1599999999999</v>
      </c>
      <c r="P24" s="240">
        <f t="shared" si="6"/>
        <v>12.696470588235304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420.08</v>
      </c>
      <c r="G25" s="212">
        <f t="shared" si="7"/>
        <v>143.24</v>
      </c>
      <c r="H25" s="214">
        <f t="shared" si="1"/>
        <v>151.74107787891924</v>
      </c>
      <c r="I25" s="215">
        <f t="shared" si="2"/>
        <v>-2379.92</v>
      </c>
      <c r="J25" s="215">
        <f t="shared" si="3"/>
        <v>15.002857142857144</v>
      </c>
      <c r="K25" s="215">
        <f>F25-173.09</f>
        <v>246.98999999999998</v>
      </c>
      <c r="L25" s="215">
        <f>F25/173.09*100</f>
        <v>242.69455196718468</v>
      </c>
      <c r="M25" s="214">
        <f>E25-квітень!E23</f>
        <v>0</v>
      </c>
      <c r="N25" s="217">
        <f>F25-квітень!F23</f>
        <v>33.5</v>
      </c>
      <c r="O25" s="218">
        <f t="shared" si="4"/>
        <v>33.5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56447.82</v>
      </c>
      <c r="F26" s="213">
        <v>62479.91</v>
      </c>
      <c r="G26" s="212">
        <f t="shared" si="7"/>
        <v>6032.090000000004</v>
      </c>
      <c r="H26" s="214">
        <f t="shared" si="1"/>
        <v>110.6861345575436</v>
      </c>
      <c r="I26" s="215">
        <f t="shared" si="2"/>
        <v>-77620.09</v>
      </c>
      <c r="J26" s="215">
        <f t="shared" si="3"/>
        <v>44.596652391149185</v>
      </c>
      <c r="K26" s="216">
        <f>F26-41178.8</f>
        <v>21301.11</v>
      </c>
      <c r="L26" s="216">
        <f>F26/41178.8*100</f>
        <v>151.72834079672063</v>
      </c>
      <c r="M26" s="214">
        <f>E26-квітень!E24</f>
        <v>11670</v>
      </c>
      <c r="N26" s="217">
        <f>F26-квітень!F24</f>
        <v>13243.450000000004</v>
      </c>
      <c r="O26" s="218">
        <f t="shared" si="4"/>
        <v>1573.4500000000044</v>
      </c>
      <c r="P26" s="215">
        <f>N26/M26*100</f>
        <v>113.48286203941736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15844.05</v>
      </c>
      <c r="F27" s="203">
        <v>19348.56</v>
      </c>
      <c r="G27" s="241">
        <f t="shared" si="7"/>
        <v>3504.510000000002</v>
      </c>
      <c r="H27" s="242">
        <f t="shared" si="1"/>
        <v>122.11877644920335</v>
      </c>
      <c r="I27" s="243">
        <f t="shared" si="2"/>
        <v>-18708.44</v>
      </c>
      <c r="J27" s="243">
        <f t="shared" si="3"/>
        <v>50.841001655411624</v>
      </c>
      <c r="K27" s="244">
        <f>F27-10374.12</f>
        <v>8974.44</v>
      </c>
      <c r="L27" s="244">
        <f>F27/10374.12*100</f>
        <v>186.50796404899884</v>
      </c>
      <c r="M27" s="239">
        <f>E27-12724.05</f>
        <v>3120</v>
      </c>
      <c r="N27" s="239">
        <f>F27-15205.9</f>
        <v>4142.660000000002</v>
      </c>
      <c r="O27" s="240">
        <f t="shared" si="4"/>
        <v>1022.6600000000017</v>
      </c>
      <c r="P27" s="240">
        <f>N27/M27*100</f>
        <v>132.77756410256416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102043</v>
      </c>
      <c r="E28" s="241">
        <v>40603.77</v>
      </c>
      <c r="F28" s="203">
        <v>43131.35</v>
      </c>
      <c r="G28" s="241">
        <f t="shared" si="7"/>
        <v>2527.5800000000017</v>
      </c>
      <c r="H28" s="242">
        <f t="shared" si="1"/>
        <v>106.22498846781963</v>
      </c>
      <c r="I28" s="243">
        <f t="shared" si="2"/>
        <v>-58911.65</v>
      </c>
      <c r="J28" s="243">
        <f t="shared" si="3"/>
        <v>42.26781846868477</v>
      </c>
      <c r="K28" s="244">
        <f>F28-30804.67</f>
        <v>12326.68</v>
      </c>
      <c r="L28" s="244">
        <f>F28/30804.67*100</f>
        <v>140.01562100811338</v>
      </c>
      <c r="M28" s="239">
        <f>E28-32053.77</f>
        <v>8549.999999999996</v>
      </c>
      <c r="N28" s="239">
        <f>F28-34030.56</f>
        <v>9100.79</v>
      </c>
      <c r="O28" s="240">
        <f t="shared" si="4"/>
        <v>550.7900000000045</v>
      </c>
      <c r="P28" s="240">
        <f>N28/M28*100</f>
        <v>106.44198830409361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30.51</v>
      </c>
      <c r="F29" s="196">
        <v>51.14</v>
      </c>
      <c r="G29" s="190">
        <f t="shared" si="7"/>
        <v>20.63</v>
      </c>
      <c r="H29" s="197">
        <f t="shared" si="1"/>
        <v>167.6171746968207</v>
      </c>
      <c r="I29" s="198">
        <f t="shared" si="2"/>
        <v>-25.86</v>
      </c>
      <c r="J29" s="198">
        <f t="shared" si="3"/>
        <v>66.41558441558442</v>
      </c>
      <c r="K29" s="198">
        <f>F29-33.2</f>
        <v>17.939999999999998</v>
      </c>
      <c r="L29" s="198">
        <f>F29/33.2*100</f>
        <v>154.03614457831324</v>
      </c>
      <c r="M29" s="197">
        <f>E29-квітень!E25</f>
        <v>11</v>
      </c>
      <c r="N29" s="200">
        <f>F29-квітень!F25</f>
        <v>18.43</v>
      </c>
      <c r="O29" s="201">
        <f t="shared" si="4"/>
        <v>7.43</v>
      </c>
      <c r="P29" s="198">
        <f>N29/M29*100</f>
        <v>167.54545454545456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-109.72</v>
      </c>
      <c r="G30" s="190">
        <f aca="true" t="shared" si="8" ref="G30:G36">F30-E30</f>
        <v>-109.72</v>
      </c>
      <c r="H30" s="197"/>
      <c r="I30" s="198">
        <f t="shared" si="2"/>
        <v>-109.72</v>
      </c>
      <c r="J30" s="198"/>
      <c r="K30" s="198">
        <f>F30-(-205.49)</f>
        <v>95.77000000000001</v>
      </c>
      <c r="L30" s="198">
        <f>F30/(-205.49)*100</f>
        <v>53.39432575794443</v>
      </c>
      <c r="M30" s="197">
        <f>E30-квітень!E26</f>
        <v>0</v>
      </c>
      <c r="N30" s="200">
        <f>F30-квітень!F26</f>
        <v>-2.7099999999999937</v>
      </c>
      <c r="O30" s="201">
        <f t="shared" si="4"/>
        <v>-2.7099999999999937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f>56102.04+10000</f>
        <v>66102.04000000001</v>
      </c>
      <c r="F31" s="203">
        <v>68766.7</v>
      </c>
      <c r="G31" s="202">
        <f t="shared" si="8"/>
        <v>2664.659999999989</v>
      </c>
      <c r="H31" s="204">
        <f t="shared" si="1"/>
        <v>104.03113126311985</v>
      </c>
      <c r="I31" s="205">
        <f t="shared" si="2"/>
        <v>-40696.3</v>
      </c>
      <c r="J31" s="205">
        <f t="shared" si="3"/>
        <v>62.82186674949526</v>
      </c>
      <c r="K31" s="219">
        <f>F31-42734.29</f>
        <v>26032.409999999996</v>
      </c>
      <c r="L31" s="219">
        <f>F31/42734.29*100</f>
        <v>160.91691239049484</v>
      </c>
      <c r="M31" s="197">
        <f>E31-квітень!E27</f>
        <v>20606.80000000001</v>
      </c>
      <c r="N31" s="200">
        <f>F31-квітень!F27</f>
        <v>16946.14</v>
      </c>
      <c r="O31" s="207">
        <f t="shared" si="4"/>
        <v>-3660.6600000000108</v>
      </c>
      <c r="P31" s="205">
        <f>N31/M31*100</f>
        <v>82.23566977890789</v>
      </c>
      <c r="Q31" s="113"/>
      <c r="R31" s="114"/>
    </row>
    <row r="32" spans="1:18" s="6" customFormat="1" ht="15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8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E32-квітень!E28</f>
        <v>0</v>
      </c>
      <c r="N32" s="179">
        <f>F32-квітень!F28</f>
        <v>0</v>
      </c>
      <c r="O32" s="112">
        <f t="shared" si="4"/>
        <v>0</v>
      </c>
      <c r="P32" s="110"/>
      <c r="Q32" s="113"/>
      <c r="R32" s="114"/>
    </row>
    <row r="33" spans="1:18" s="6" customFormat="1" ht="15">
      <c r="A33" s="8"/>
      <c r="B33" s="55" t="s">
        <v>95</v>
      </c>
      <c r="C33" s="108">
        <v>18050300</v>
      </c>
      <c r="D33" s="109">
        <v>27600</v>
      </c>
      <c r="E33" s="109">
        <f>14755.97+2000</f>
        <v>16755.97</v>
      </c>
      <c r="F33" s="171">
        <v>17552.06</v>
      </c>
      <c r="G33" s="109">
        <f t="shared" si="8"/>
        <v>796.0900000000001</v>
      </c>
      <c r="H33" s="111">
        <f t="shared" si="1"/>
        <v>104.75108274841742</v>
      </c>
      <c r="I33" s="110">
        <f t="shared" si="2"/>
        <v>-10047.939999999999</v>
      </c>
      <c r="J33" s="110">
        <f t="shared" si="3"/>
        <v>63.59442028985508</v>
      </c>
      <c r="K33" s="142">
        <f>F33-10825.45</f>
        <v>6726.610000000001</v>
      </c>
      <c r="L33" s="142">
        <f>F33/10825.45*100</f>
        <v>162.1370012332051</v>
      </c>
      <c r="M33" s="111">
        <f>E33-квітень!E29</f>
        <v>5500.000000000002</v>
      </c>
      <c r="N33" s="179">
        <f>F33-квітень!F29</f>
        <v>5067.300000000001</v>
      </c>
      <c r="O33" s="112">
        <f t="shared" si="4"/>
        <v>-432.7000000000007</v>
      </c>
      <c r="P33" s="110">
        <f>N33/M33*100</f>
        <v>92.13272727272727</v>
      </c>
      <c r="Q33" s="113"/>
      <c r="R33" s="114"/>
    </row>
    <row r="34" spans="1:18" s="6" customFormat="1" ht="15">
      <c r="A34" s="8"/>
      <c r="B34" s="55" t="s">
        <v>96</v>
      </c>
      <c r="C34" s="108">
        <v>18050400</v>
      </c>
      <c r="D34" s="109">
        <v>81812</v>
      </c>
      <c r="E34" s="109">
        <f>41336.08+8000</f>
        <v>49336.08</v>
      </c>
      <c r="F34" s="171">
        <v>51200.46</v>
      </c>
      <c r="G34" s="109">
        <f t="shared" si="8"/>
        <v>1864.3799999999974</v>
      </c>
      <c r="H34" s="111">
        <f t="shared" si="1"/>
        <v>103.77893825370803</v>
      </c>
      <c r="I34" s="110">
        <f t="shared" si="2"/>
        <v>-30611.54</v>
      </c>
      <c r="J34" s="110">
        <f t="shared" si="3"/>
        <v>62.58306849850877</v>
      </c>
      <c r="K34" s="142">
        <f>F34-31903.08</f>
        <v>19297.379999999997</v>
      </c>
      <c r="L34" s="142">
        <f>F34/31903.08*100</f>
        <v>160.48751405820377</v>
      </c>
      <c r="M34" s="111">
        <f>E34-квітень!E30</f>
        <v>15100</v>
      </c>
      <c r="N34" s="179">
        <f>F34-квітень!F30</f>
        <v>11878.849999999999</v>
      </c>
      <c r="O34" s="112">
        <f t="shared" si="4"/>
        <v>-3221.1500000000015</v>
      </c>
      <c r="P34" s="110">
        <f>N34/M34*100</f>
        <v>78.66788079470197</v>
      </c>
      <c r="Q34" s="113"/>
      <c r="R34" s="114"/>
    </row>
    <row r="35" spans="1:18" s="6" customFormat="1" ht="15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8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F35-6.96</f>
        <v>7.05</v>
      </c>
      <c r="L35" s="142">
        <f>F35/6.96*100</f>
        <v>201.29310344827584</v>
      </c>
      <c r="M35" s="111">
        <f>E35-квітень!E31</f>
        <v>6.800000000000001</v>
      </c>
      <c r="N35" s="179">
        <f>F35-квітень!F31</f>
        <v>0</v>
      </c>
      <c r="O35" s="112">
        <f t="shared" si="4"/>
        <v>-6.800000000000001</v>
      </c>
      <c r="P35" s="110"/>
      <c r="Q35" s="113"/>
      <c r="R35" s="114"/>
    </row>
    <row r="36" spans="1:18" s="6" customFormat="1" ht="15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8"/>
        <v>0</v>
      </c>
      <c r="H36" s="32"/>
      <c r="I36" s="42">
        <f t="shared" si="2"/>
        <v>0</v>
      </c>
      <c r="J36" s="42"/>
      <c r="K36" s="132">
        <f>F36-4020.62</f>
        <v>-4020.62</v>
      </c>
      <c r="L36" s="132">
        <f>F36/2014.1*100</f>
        <v>0</v>
      </c>
      <c r="M36" s="32">
        <v>0</v>
      </c>
      <c r="N36" s="178">
        <f>F36-квітень!F32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5">
        <f>D38+D39+D40+D41+D42+D44+D46+D47+D48+D49+D50+D55+D56+D60</f>
        <v>42820</v>
      </c>
      <c r="E37" s="15">
        <f>E38+E39+E40+E41+E42+E44+E46+E47+E48+E49+E50+E55+E56+E60</f>
        <v>17807.03</v>
      </c>
      <c r="F37" s="15">
        <f>F38+F39+F40+F41+F42+F44+F46+F47+F48+F49+F50+F55+F56+F60+F43</f>
        <v>22840.42</v>
      </c>
      <c r="G37" s="191">
        <f>G38+G39+G40+G41+G42+G44+G46+G47+G48+G49+G50+G55+G56+G60</f>
        <v>5026.589999999999</v>
      </c>
      <c r="H37" s="192">
        <f>F37/E37*100</f>
        <v>128.2663083063262</v>
      </c>
      <c r="I37" s="193">
        <f>F37-D37</f>
        <v>-19979.58</v>
      </c>
      <c r="J37" s="193">
        <f>F37/D37*100</f>
        <v>53.340541802895835</v>
      </c>
      <c r="K37" s="191">
        <f>F37-12995.52</f>
        <v>9844.899999999998</v>
      </c>
      <c r="L37" s="191">
        <f>F37/12995.52*100</f>
        <v>175.7561067198542</v>
      </c>
      <c r="M37" s="191">
        <f>M38+M39+M40+M41+M42+M44+M46+M47+M48+M49+M50+M55+M56+M60</f>
        <v>3561</v>
      </c>
      <c r="N37" s="191">
        <f>N38+N39+N40+N41+N42+N44+N46+N47+N48+N49+N50+N55+N56+N60+N43</f>
        <v>6079.776000000001</v>
      </c>
      <c r="O37" s="191">
        <f>O38+O39+O40+O41+O42+O44+O46+O47+O48+O49+O50+O55+O56+O60</f>
        <v>2518.7759999999994</v>
      </c>
      <c r="P37" s="191">
        <f>N37/M37*100</f>
        <v>170.7322662173547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33">
        <v>100</v>
      </c>
      <c r="E38" s="33">
        <v>64</v>
      </c>
      <c r="F38" s="170">
        <v>240.17</v>
      </c>
      <c r="G38" s="202">
        <f>F38-E38</f>
        <v>176.17</v>
      </c>
      <c r="H38" s="204">
        <f aca="true" t="shared" si="9" ref="H38:H61">F38/E38*100</f>
        <v>375.265625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E38-квітень!E34</f>
        <v>10</v>
      </c>
      <c r="N38" s="208">
        <f>F38-квітень!F34</f>
        <v>144.42399999999998</v>
      </c>
      <c r="O38" s="207">
        <f>N38-M38</f>
        <v>134.42399999999998</v>
      </c>
      <c r="P38" s="205">
        <f aca="true" t="shared" si="10" ref="P38:P61">N38/M38*100</f>
        <v>1444.2399999999998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33">
        <v>10000</v>
      </c>
      <c r="E39" s="33">
        <v>5537</v>
      </c>
      <c r="F39" s="170">
        <v>10098.73</v>
      </c>
      <c r="G39" s="202">
        <f aca="true" t="shared" si="11" ref="G39:G62">F39-E39</f>
        <v>4561.73</v>
      </c>
      <c r="H39" s="204">
        <f t="shared" si="9"/>
        <v>182.38631027632292</v>
      </c>
      <c r="I39" s="205">
        <f aca="true" t="shared" si="12" ref="I39:I62">F39-D39</f>
        <v>98.72999999999956</v>
      </c>
      <c r="J39" s="205">
        <f>F39/D39*100</f>
        <v>100.9873</v>
      </c>
      <c r="K39" s="205">
        <f>F39-0</f>
        <v>10098.73</v>
      </c>
      <c r="L39" s="205"/>
      <c r="M39" s="204">
        <f>E39-квітень!E35</f>
        <v>1000</v>
      </c>
      <c r="N39" s="208">
        <f>F39-квітень!F35</f>
        <v>3345.3199999999997</v>
      </c>
      <c r="O39" s="207">
        <f aca="true" t="shared" si="13" ref="O39:O62">N39-M39</f>
        <v>2345.3199999999997</v>
      </c>
      <c r="P39" s="205">
        <f t="shared" si="10"/>
        <v>334.532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33">
        <v>400</v>
      </c>
      <c r="E40" s="33">
        <v>91.44</v>
      </c>
      <c r="F40" s="170">
        <v>27.51</v>
      </c>
      <c r="G40" s="202">
        <f t="shared" si="11"/>
        <v>-63.92999999999999</v>
      </c>
      <c r="H40" s="204">
        <f t="shared" si="9"/>
        <v>30.085301837270347</v>
      </c>
      <c r="I40" s="205">
        <f t="shared" si="12"/>
        <v>-372.49</v>
      </c>
      <c r="J40" s="205">
        <f aca="true" t="shared" si="14" ref="J40:J61">F40/D40*100</f>
        <v>6.8775</v>
      </c>
      <c r="K40" s="205">
        <f>F40-112.8</f>
        <v>-85.28999999999999</v>
      </c>
      <c r="L40" s="205">
        <f>F40/112.8*100</f>
        <v>24.388297872340427</v>
      </c>
      <c r="M40" s="204">
        <f>E40-квітень!E36</f>
        <v>20</v>
      </c>
      <c r="N40" s="208">
        <f>F40-квітень!F36</f>
        <v>0</v>
      </c>
      <c r="O40" s="207">
        <f t="shared" si="13"/>
        <v>-20</v>
      </c>
      <c r="P40" s="205">
        <f t="shared" si="10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33">
        <f>6.5-6.5</f>
        <v>0</v>
      </c>
      <c r="E41" s="33">
        <v>0</v>
      </c>
      <c r="F41" s="170">
        <v>0.1</v>
      </c>
      <c r="G41" s="202">
        <f t="shared" si="11"/>
        <v>0.1</v>
      </c>
      <c r="H41" s="204"/>
      <c r="I41" s="205">
        <f t="shared" si="12"/>
        <v>0.1</v>
      </c>
      <c r="J41" s="205"/>
      <c r="K41" s="205">
        <f>F41-0</f>
        <v>0.1</v>
      </c>
      <c r="L41" s="205"/>
      <c r="M41" s="204">
        <f>E41-квітень!E37</f>
        <v>0</v>
      </c>
      <c r="N41" s="208">
        <f>F41-квітень!F37</f>
        <v>0</v>
      </c>
      <c r="O41" s="207">
        <f t="shared" si="13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33">
        <v>150</v>
      </c>
      <c r="E42" s="33">
        <v>50</v>
      </c>
      <c r="F42" s="170">
        <v>50.4</v>
      </c>
      <c r="G42" s="202">
        <f t="shared" si="11"/>
        <v>0.3999999999999986</v>
      </c>
      <c r="H42" s="204">
        <f t="shared" si="9"/>
        <v>100.8</v>
      </c>
      <c r="I42" s="205">
        <f t="shared" si="12"/>
        <v>-99.6</v>
      </c>
      <c r="J42" s="205">
        <f t="shared" si="14"/>
        <v>33.599999999999994</v>
      </c>
      <c r="K42" s="205">
        <f>F42-65.18</f>
        <v>-14.780000000000008</v>
      </c>
      <c r="L42" s="205">
        <f>F42/65.18*100</f>
        <v>77.32433261736728</v>
      </c>
      <c r="M42" s="204">
        <f>E42-квітень!E38</f>
        <v>10</v>
      </c>
      <c r="N42" s="208">
        <f>F42-квітень!F38</f>
        <v>16.199999999999996</v>
      </c>
      <c r="O42" s="207">
        <f t="shared" si="13"/>
        <v>6.199999999999996</v>
      </c>
      <c r="P42" s="205">
        <f t="shared" si="10"/>
        <v>161.99999999999997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33">
        <v>0</v>
      </c>
      <c r="E43" s="33">
        <v>0</v>
      </c>
      <c r="F43" s="170">
        <v>6.8</v>
      </c>
      <c r="G43" s="202">
        <f t="shared" si="11"/>
        <v>6.8</v>
      </c>
      <c r="H43" s="204"/>
      <c r="I43" s="205">
        <f t="shared" si="12"/>
        <v>6.8</v>
      </c>
      <c r="J43" s="205"/>
      <c r="K43" s="205">
        <f>F43-2</f>
        <v>4.8</v>
      </c>
      <c r="L43" s="205">
        <f>F43/2*100</f>
        <v>340</v>
      </c>
      <c r="M43" s="204">
        <f>E43-квітень!E39</f>
        <v>0</v>
      </c>
      <c r="N43" s="208">
        <f>F43-квітень!F39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33">
        <v>90</v>
      </c>
      <c r="E44" s="33">
        <v>32</v>
      </c>
      <c r="F44" s="170">
        <v>76.33</v>
      </c>
      <c r="G44" s="202">
        <f t="shared" si="11"/>
        <v>44.33</v>
      </c>
      <c r="H44" s="204">
        <f t="shared" si="9"/>
        <v>238.53125</v>
      </c>
      <c r="I44" s="205">
        <f t="shared" si="12"/>
        <v>-13.670000000000002</v>
      </c>
      <c r="J44" s="205">
        <f t="shared" si="14"/>
        <v>84.8111111111111</v>
      </c>
      <c r="K44" s="205">
        <f>F44-0</f>
        <v>76.33</v>
      </c>
      <c r="L44" s="205"/>
      <c r="M44" s="204">
        <f>E44-квітень!E40</f>
        <v>8</v>
      </c>
      <c r="N44" s="208">
        <f>F44-квітень!F40</f>
        <v>76.33</v>
      </c>
      <c r="O44" s="207">
        <f t="shared" si="13"/>
        <v>68.33</v>
      </c>
      <c r="P44" s="205">
        <f t="shared" si="10"/>
        <v>954.125</v>
      </c>
      <c r="Q44" s="42"/>
      <c r="R44" s="100"/>
    </row>
    <row r="45" spans="1:18" s="6" customFormat="1" ht="18" hidden="1">
      <c r="A45" s="8"/>
      <c r="B45" s="145"/>
      <c r="C45" s="54"/>
      <c r="D45" s="33"/>
      <c r="E45" s="33"/>
      <c r="F45" s="170"/>
      <c r="G45" s="202"/>
      <c r="H45" s="204"/>
      <c r="I45" s="205"/>
      <c r="J45" s="205"/>
      <c r="K45" s="205"/>
      <c r="L45" s="205"/>
      <c r="M45" s="204">
        <f>E45-квітень!E41</f>
        <v>0</v>
      </c>
      <c r="N45" s="208">
        <f>F45-квітень!F41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33">
        <v>9900</v>
      </c>
      <c r="E46" s="33">
        <v>3739.02</v>
      </c>
      <c r="F46" s="170">
        <v>4057.41</v>
      </c>
      <c r="G46" s="202">
        <f t="shared" si="11"/>
        <v>318.3899999999999</v>
      </c>
      <c r="H46" s="204">
        <f t="shared" si="9"/>
        <v>108.51533289471573</v>
      </c>
      <c r="I46" s="205">
        <f t="shared" si="12"/>
        <v>-5842.59</v>
      </c>
      <c r="J46" s="205">
        <f t="shared" si="14"/>
        <v>40.983939393939394</v>
      </c>
      <c r="K46" s="205">
        <f>F46-4115.54</f>
        <v>-58.13000000000011</v>
      </c>
      <c r="L46" s="205">
        <f>F46/4115.54*100</f>
        <v>98.58754865704135</v>
      </c>
      <c r="M46" s="204">
        <f>E46-квітень!E42</f>
        <v>800</v>
      </c>
      <c r="N46" s="208">
        <f>F46-квітень!F42</f>
        <v>856</v>
      </c>
      <c r="O46" s="207">
        <f t="shared" si="13"/>
        <v>56</v>
      </c>
      <c r="P46" s="205">
        <f t="shared" si="10"/>
        <v>107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33">
        <v>1500</v>
      </c>
      <c r="E47" s="33">
        <v>520</v>
      </c>
      <c r="F47" s="170">
        <v>33.93</v>
      </c>
      <c r="G47" s="202">
        <f t="shared" si="11"/>
        <v>-486.07</v>
      </c>
      <c r="H47" s="204">
        <f t="shared" si="9"/>
        <v>6.525</v>
      </c>
      <c r="I47" s="205">
        <f t="shared" si="12"/>
        <v>-1466.07</v>
      </c>
      <c r="J47" s="205">
        <f t="shared" si="14"/>
        <v>2.262</v>
      </c>
      <c r="K47" s="205">
        <f>F47-0</f>
        <v>33.93</v>
      </c>
      <c r="L47" s="205"/>
      <c r="M47" s="204">
        <f>E47-квітень!E43</f>
        <v>130</v>
      </c>
      <c r="N47" s="208">
        <f>F47-квітень!F43</f>
        <v>32.56</v>
      </c>
      <c r="O47" s="207">
        <f t="shared" si="13"/>
        <v>-97.44</v>
      </c>
      <c r="P47" s="205">
        <f t="shared" si="10"/>
        <v>25.046153846153846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33">
        <v>50</v>
      </c>
      <c r="E48" s="33">
        <v>16</v>
      </c>
      <c r="F48" s="170">
        <v>7.72</v>
      </c>
      <c r="G48" s="202">
        <f t="shared" si="11"/>
        <v>-8.280000000000001</v>
      </c>
      <c r="H48" s="204">
        <f t="shared" si="9"/>
        <v>48.25</v>
      </c>
      <c r="I48" s="205">
        <f t="shared" si="12"/>
        <v>-42.28</v>
      </c>
      <c r="J48" s="205">
        <f t="shared" si="14"/>
        <v>15.439999999999998</v>
      </c>
      <c r="K48" s="205">
        <f>F48-0</f>
        <v>7.72</v>
      </c>
      <c r="L48" s="205"/>
      <c r="M48" s="204">
        <f>E48-квітень!E44</f>
        <v>4</v>
      </c>
      <c r="N48" s="208">
        <f>F48-квітень!F44</f>
        <v>7.72</v>
      </c>
      <c r="O48" s="207">
        <f t="shared" si="13"/>
        <v>3.7199999999999998</v>
      </c>
      <c r="P48" s="205">
        <f t="shared" si="10"/>
        <v>193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33">
        <v>8500</v>
      </c>
      <c r="E49" s="33">
        <v>3316.23</v>
      </c>
      <c r="F49" s="170">
        <v>3304.24</v>
      </c>
      <c r="G49" s="202">
        <f t="shared" si="11"/>
        <v>-11.990000000000236</v>
      </c>
      <c r="H49" s="204">
        <f t="shared" si="9"/>
        <v>99.63844486057963</v>
      </c>
      <c r="I49" s="205">
        <f t="shared" si="12"/>
        <v>-5195.76</v>
      </c>
      <c r="J49" s="205">
        <f t="shared" si="14"/>
        <v>38.87341176470588</v>
      </c>
      <c r="K49" s="205">
        <f>F49-3403.14</f>
        <v>-98.90000000000009</v>
      </c>
      <c r="L49" s="205">
        <f>F49/3403.14*100</f>
        <v>97.09386037600568</v>
      </c>
      <c r="M49" s="204">
        <f>E49-квітень!E45</f>
        <v>650</v>
      </c>
      <c r="N49" s="208">
        <f>F49-квітень!F45</f>
        <v>672.8919999999998</v>
      </c>
      <c r="O49" s="207">
        <f t="shared" si="13"/>
        <v>22.891999999999825</v>
      </c>
      <c r="P49" s="205">
        <f t="shared" si="10"/>
        <v>103.52184615384613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33">
        <v>7300</v>
      </c>
      <c r="E50" s="33">
        <v>2553.19</v>
      </c>
      <c r="F50" s="170">
        <v>2573.46</v>
      </c>
      <c r="G50" s="202">
        <f t="shared" si="11"/>
        <v>20.269999999999982</v>
      </c>
      <c r="H50" s="204">
        <f t="shared" si="9"/>
        <v>100.7939087964468</v>
      </c>
      <c r="I50" s="205">
        <f t="shared" si="12"/>
        <v>-4726.54</v>
      </c>
      <c r="J50" s="205">
        <f t="shared" si="14"/>
        <v>35.25287671232877</v>
      </c>
      <c r="K50" s="205">
        <f>F50-3368.6</f>
        <v>-795.1399999999999</v>
      </c>
      <c r="L50" s="205">
        <f>F50/3368.6*100</f>
        <v>76.39553523719053</v>
      </c>
      <c r="M50" s="204">
        <f>E50-квітень!E46</f>
        <v>539</v>
      </c>
      <c r="N50" s="208">
        <f>F50-квітень!F46</f>
        <v>574.72</v>
      </c>
      <c r="O50" s="207">
        <f t="shared" si="13"/>
        <v>35.72000000000003</v>
      </c>
      <c r="P50" s="205">
        <f t="shared" si="10"/>
        <v>106.62708719851577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366.99</v>
      </c>
      <c r="F51" s="171">
        <v>367.55</v>
      </c>
      <c r="G51" s="36">
        <f t="shared" si="11"/>
        <v>0.5600000000000023</v>
      </c>
      <c r="H51" s="32">
        <f t="shared" si="9"/>
        <v>100.15259271369791</v>
      </c>
      <c r="I51" s="110">
        <f t="shared" si="12"/>
        <v>-732.45</v>
      </c>
      <c r="J51" s="110">
        <f t="shared" si="14"/>
        <v>33.413636363636364</v>
      </c>
      <c r="K51" s="110">
        <f>F51-397.7</f>
        <v>-30.149999999999977</v>
      </c>
      <c r="L51" s="110">
        <f>F51/397.7*100</f>
        <v>92.41890872516973</v>
      </c>
      <c r="M51" s="111">
        <f>E51-квітень!E47</f>
        <v>78</v>
      </c>
      <c r="N51" s="179">
        <f>F51-квітень!F47</f>
        <v>132.13000000000002</v>
      </c>
      <c r="O51" s="112">
        <f t="shared" si="13"/>
        <v>54.130000000000024</v>
      </c>
      <c r="P51" s="132">
        <f t="shared" si="10"/>
        <v>169.3974358974359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4.04</v>
      </c>
      <c r="F52" s="171">
        <v>0.23</v>
      </c>
      <c r="G52" s="36">
        <f t="shared" si="11"/>
        <v>-3.81</v>
      </c>
      <c r="H52" s="32">
        <f t="shared" si="9"/>
        <v>5.693069306930694</v>
      </c>
      <c r="I52" s="110">
        <f t="shared" si="12"/>
        <v>-44.77</v>
      </c>
      <c r="J52" s="110">
        <f t="shared" si="14"/>
        <v>0.5111111111111112</v>
      </c>
      <c r="K52" s="110">
        <f>F52-44.74</f>
        <v>-44.510000000000005</v>
      </c>
      <c r="L52" s="110">
        <f>F52/44.74*100</f>
        <v>0.5140813589628968</v>
      </c>
      <c r="M52" s="111">
        <f>E52-квітень!E48</f>
        <v>1</v>
      </c>
      <c r="N52" s="179">
        <f>F52-квітень!F48</f>
        <v>0.08000000000000002</v>
      </c>
      <c r="O52" s="112">
        <f t="shared" si="13"/>
        <v>-0.9199999999999999</v>
      </c>
      <c r="P52" s="132">
        <f t="shared" si="10"/>
        <v>8.000000000000002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11"/>
        <v>0.02</v>
      </c>
      <c r="H53" s="32"/>
      <c r="I53" s="110">
        <f t="shared" si="12"/>
        <v>-0.98</v>
      </c>
      <c r="J53" s="110">
        <f t="shared" si="14"/>
        <v>2</v>
      </c>
      <c r="K53" s="110">
        <f>F53-0.73</f>
        <v>-0.71</v>
      </c>
      <c r="L53" s="110">
        <f>F53/0.73*100</f>
        <v>2.7397260273972606</v>
      </c>
      <c r="M53" s="111">
        <f>E53-квітень!E49</f>
        <v>0</v>
      </c>
      <c r="N53" s="179">
        <f>F53-квітень!F49</f>
        <v>0.02</v>
      </c>
      <c r="O53" s="112">
        <f t="shared" si="13"/>
        <v>0.02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2182.17</v>
      </c>
      <c r="F54" s="171">
        <v>2205.67</v>
      </c>
      <c r="G54" s="36">
        <f t="shared" si="11"/>
        <v>23.5</v>
      </c>
      <c r="H54" s="32">
        <f t="shared" si="9"/>
        <v>101.07690968164718</v>
      </c>
      <c r="I54" s="110">
        <f t="shared" si="12"/>
        <v>-3948.33</v>
      </c>
      <c r="J54" s="110">
        <f t="shared" si="14"/>
        <v>35.841241468963275</v>
      </c>
      <c r="K54" s="110">
        <f>F54-2925.43</f>
        <v>-719.7599999999998</v>
      </c>
      <c r="L54" s="110">
        <f>F54/2925.43*100</f>
        <v>75.3964374468027</v>
      </c>
      <c r="M54" s="111">
        <f>E54-квітень!E50</f>
        <v>460</v>
      </c>
      <c r="N54" s="179">
        <f>F54-квітень!F50</f>
        <v>442.51</v>
      </c>
      <c r="O54" s="112">
        <f t="shared" si="13"/>
        <v>-17.49000000000001</v>
      </c>
      <c r="P54" s="132">
        <f t="shared" si="10"/>
        <v>96.19782608695651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33">
        <v>10</v>
      </c>
      <c r="E55" s="33">
        <v>0.17</v>
      </c>
      <c r="F55" s="170">
        <v>2.46</v>
      </c>
      <c r="G55" s="202">
        <f t="shared" si="11"/>
        <v>2.29</v>
      </c>
      <c r="H55" s="204">
        <f t="shared" si="9"/>
        <v>1447.0588235294117</v>
      </c>
      <c r="I55" s="205">
        <f t="shared" si="12"/>
        <v>-7.54</v>
      </c>
      <c r="J55" s="205">
        <f t="shared" si="14"/>
        <v>24.6</v>
      </c>
      <c r="K55" s="205">
        <f>F55-0</f>
        <v>2.46</v>
      </c>
      <c r="L55" s="205"/>
      <c r="M55" s="204">
        <f>E55-квітень!E51</f>
        <v>0</v>
      </c>
      <c r="N55" s="208">
        <f>F55-квітень!F51</f>
        <v>0</v>
      </c>
      <c r="O55" s="207">
        <f t="shared" si="13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33">
        <v>4800</v>
      </c>
      <c r="E56" s="33">
        <v>1867.98</v>
      </c>
      <c r="F56" s="170">
        <v>2320.11</v>
      </c>
      <c r="G56" s="202">
        <f t="shared" si="11"/>
        <v>452.1300000000001</v>
      </c>
      <c r="H56" s="204">
        <f t="shared" si="9"/>
        <v>124.20422060193363</v>
      </c>
      <c r="I56" s="205">
        <f t="shared" si="12"/>
        <v>-2479.89</v>
      </c>
      <c r="J56" s="205">
        <f t="shared" si="14"/>
        <v>48.33562500000001</v>
      </c>
      <c r="K56" s="205">
        <f>F56-1827.87</f>
        <v>492.24000000000024</v>
      </c>
      <c r="L56" s="205">
        <f>F56/1827.87*100</f>
        <v>126.92970506655288</v>
      </c>
      <c r="M56" s="204">
        <f>E56-квітень!E52</f>
        <v>390</v>
      </c>
      <c r="N56" s="208">
        <f>F56-квітень!F52</f>
        <v>345.6500000000001</v>
      </c>
      <c r="O56" s="207">
        <f t="shared" si="13"/>
        <v>-44.34999999999991</v>
      </c>
      <c r="P56" s="205">
        <f t="shared" si="10"/>
        <v>88.62820512820515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11"/>
        <v>0</v>
      </c>
      <c r="H57" s="204" t="e">
        <f t="shared" si="9"/>
        <v>#DIV/0!</v>
      </c>
      <c r="I57" s="205">
        <f t="shared" si="12"/>
        <v>0</v>
      </c>
      <c r="J57" s="205" t="e">
        <f t="shared" si="14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3"/>
        <v>0</v>
      </c>
      <c r="P57" s="205" t="e">
        <f t="shared" si="10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171">
        <f>478.37+0.3</f>
        <v>478.67</v>
      </c>
      <c r="G58" s="202"/>
      <c r="H58" s="204"/>
      <c r="I58" s="205"/>
      <c r="J58" s="205"/>
      <c r="K58" s="206">
        <f>F58-430.9</f>
        <v>47.77000000000004</v>
      </c>
      <c r="L58" s="206">
        <f>F58/430.9*100</f>
        <v>111.08609886284522</v>
      </c>
      <c r="M58" s="236"/>
      <c r="N58" s="220">
        <f>F58-квітень!F54</f>
        <v>91.31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11"/>
        <v>0</v>
      </c>
      <c r="H59" s="204"/>
      <c r="I59" s="205">
        <f t="shared" si="12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3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33">
        <v>20</v>
      </c>
      <c r="E60" s="33">
        <v>20</v>
      </c>
      <c r="F60" s="170">
        <v>41.05</v>
      </c>
      <c r="G60" s="202">
        <f t="shared" si="11"/>
        <v>21.049999999999997</v>
      </c>
      <c r="H60" s="204">
        <f t="shared" si="9"/>
        <v>205.24999999999997</v>
      </c>
      <c r="I60" s="205">
        <f t="shared" si="12"/>
        <v>21.049999999999997</v>
      </c>
      <c r="J60" s="205">
        <f t="shared" si="14"/>
        <v>205.24999999999997</v>
      </c>
      <c r="K60" s="205">
        <f>F60-0</f>
        <v>41.05</v>
      </c>
      <c r="L60" s="205"/>
      <c r="M60" s="204">
        <f>E60-квітень!E56</f>
        <v>0</v>
      </c>
      <c r="N60" s="208">
        <f>F60-квітень!F56</f>
        <v>7.959999999999994</v>
      </c>
      <c r="O60" s="207">
        <f t="shared" si="13"/>
        <v>7.959999999999994</v>
      </c>
      <c r="P60" s="205"/>
      <c r="Q60" s="42"/>
      <c r="R60" s="100"/>
    </row>
    <row r="61" spans="1:18" s="6" customFormat="1" ht="18">
      <c r="A61" s="8"/>
      <c r="B61" s="12" t="s">
        <v>45</v>
      </c>
      <c r="C61" s="48">
        <v>31010200</v>
      </c>
      <c r="D61" s="33">
        <v>30</v>
      </c>
      <c r="E61" s="33">
        <v>9.9</v>
      </c>
      <c r="F61" s="170">
        <v>13.52</v>
      </c>
      <c r="G61" s="202">
        <f t="shared" si="11"/>
        <v>3.619999999999999</v>
      </c>
      <c r="H61" s="204">
        <f t="shared" si="9"/>
        <v>136.56565656565655</v>
      </c>
      <c r="I61" s="205">
        <f t="shared" si="12"/>
        <v>-16.48</v>
      </c>
      <c r="J61" s="205">
        <f t="shared" si="14"/>
        <v>45.06666666666666</v>
      </c>
      <c r="K61" s="205">
        <f>F61-6.52</f>
        <v>7</v>
      </c>
      <c r="L61" s="205">
        <f>F61/6.52*100</f>
        <v>207.36196319018404</v>
      </c>
      <c r="M61" s="204">
        <f>E61-квітень!E57</f>
        <v>2.3000000000000007</v>
      </c>
      <c r="N61" s="208">
        <f>F61-квітень!F57</f>
        <v>0.009999999999999787</v>
      </c>
      <c r="O61" s="207">
        <f t="shared" si="13"/>
        <v>-2.290000000000001</v>
      </c>
      <c r="P61" s="205">
        <f t="shared" si="10"/>
        <v>0.43478260869564284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33">
        <v>0.6</v>
      </c>
      <c r="E62" s="33">
        <v>0</v>
      </c>
      <c r="F62" s="170">
        <v>0.4</v>
      </c>
      <c r="G62" s="202">
        <f t="shared" si="11"/>
        <v>0.4</v>
      </c>
      <c r="H62" s="204"/>
      <c r="I62" s="205">
        <f t="shared" si="12"/>
        <v>-0.19999999999999996</v>
      </c>
      <c r="J62" s="205"/>
      <c r="K62" s="205">
        <f>F62-0.02</f>
        <v>0.38</v>
      </c>
      <c r="L62" s="205"/>
      <c r="M62" s="204">
        <f>E62-квітень!E58</f>
        <v>0</v>
      </c>
      <c r="N62" s="208">
        <f>F62-квітень!F58</f>
        <v>0.040000000000000036</v>
      </c>
      <c r="O62" s="207">
        <f t="shared" si="13"/>
        <v>0.040000000000000036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370253.41000000003</v>
      </c>
      <c r="F63" s="191">
        <f>F8+F37+F61+F62</f>
        <v>397849.29</v>
      </c>
      <c r="G63" s="191">
        <f>F63-E63</f>
        <v>27595.879999999946</v>
      </c>
      <c r="H63" s="192">
        <f>F63/E63*100</f>
        <v>107.45324128142397</v>
      </c>
      <c r="I63" s="193">
        <f>F63-D63</f>
        <v>-486051.31</v>
      </c>
      <c r="J63" s="193">
        <f>F63/D63*100</f>
        <v>45.010636942660746</v>
      </c>
      <c r="K63" s="193">
        <f>F63-265734.15</f>
        <v>132115.13999999996</v>
      </c>
      <c r="L63" s="193">
        <f>F63/265734.15*100</f>
        <v>149.71703486360332</v>
      </c>
      <c r="M63" s="191">
        <f>M8+M37+M61+M62</f>
        <v>84325.10000000002</v>
      </c>
      <c r="N63" s="191">
        <f>N8+N37+N61+N62</f>
        <v>86944.146</v>
      </c>
      <c r="O63" s="195">
        <f>N63-M63</f>
        <v>2619.045999999973</v>
      </c>
      <c r="P63" s="193">
        <f>N63/M63*100</f>
        <v>103.10589136567876</v>
      </c>
      <c r="Q63" s="28">
        <f>N63-34768</f>
        <v>52176.14599999999</v>
      </c>
      <c r="R63" s="128">
        <f>N63/34768</f>
        <v>2.5006944891854577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F68-квітень!F64</f>
        <v>-4.49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-0.27</v>
      </c>
      <c r="G69" s="202">
        <f>F69-E69</f>
        <v>-0.27</v>
      </c>
      <c r="H69" s="204"/>
      <c r="I69" s="207">
        <f>F69-D69</f>
        <v>-0.27</v>
      </c>
      <c r="J69" s="207"/>
      <c r="K69" s="207">
        <f>F69-(-19.39)</f>
        <v>19.12</v>
      </c>
      <c r="L69" s="207">
        <f>F69/(-19.39)*100</f>
        <v>1.3924703455389378</v>
      </c>
      <c r="M69" s="204"/>
      <c r="N69" s="223">
        <f>F69-квітень!F65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-0.26</v>
      </c>
      <c r="G70" s="226">
        <f>F70-E70</f>
        <v>-0.26</v>
      </c>
      <c r="H70" s="227"/>
      <c r="I70" s="228">
        <f>F70-D70</f>
        <v>-0.26</v>
      </c>
      <c r="J70" s="228"/>
      <c r="K70" s="228">
        <f>F70-(-19.39)</f>
        <v>19.13</v>
      </c>
      <c r="L70" s="228">
        <f>F70/(-19.39)*100</f>
        <v>1.3408973697782363</v>
      </c>
      <c r="M70" s="226">
        <f>M69</f>
        <v>0</v>
      </c>
      <c r="N70" s="229">
        <f>SUM(N68:N69)</f>
        <v>-4.49</v>
      </c>
      <c r="O70" s="228">
        <f>N70-M70</f>
        <v>-4.49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913</v>
      </c>
      <c r="F72" s="222">
        <v>1041.97</v>
      </c>
      <c r="G72" s="202">
        <f aca="true" t="shared" si="15" ref="G72:G82">F72-E72</f>
        <v>128.97000000000003</v>
      </c>
      <c r="H72" s="204"/>
      <c r="I72" s="207">
        <f aca="true" t="shared" si="16" ref="I72:I82">F72-D72</f>
        <v>-3158.0299999999997</v>
      </c>
      <c r="J72" s="207">
        <f>F72/D72*100</f>
        <v>24.808809523809526</v>
      </c>
      <c r="K72" s="207">
        <f>F72-193.96</f>
        <v>848.01</v>
      </c>
      <c r="L72" s="207">
        <f>F72/193.96*100</f>
        <v>537.2087028253248</v>
      </c>
      <c r="M72" s="204">
        <f>E72-квітень!E68</f>
        <v>546.4</v>
      </c>
      <c r="N72" s="208">
        <f>F72-квітень!F68</f>
        <v>741.09</v>
      </c>
      <c r="O72" s="207">
        <f aca="true" t="shared" si="17" ref="O72:O85">N72-M72</f>
        <v>194.69000000000005</v>
      </c>
      <c r="P72" s="207">
        <f>N72/M72*100</f>
        <v>135.6314055636896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1951.11</v>
      </c>
      <c r="F73" s="222">
        <v>869.23</v>
      </c>
      <c r="G73" s="202">
        <f t="shared" si="15"/>
        <v>-1081.8799999999999</v>
      </c>
      <c r="H73" s="204">
        <f>F73/E73*100</f>
        <v>44.55053789893958</v>
      </c>
      <c r="I73" s="207">
        <f t="shared" si="16"/>
        <v>-6589.77</v>
      </c>
      <c r="J73" s="207">
        <f>F73/D73*100</f>
        <v>11.65343879876659</v>
      </c>
      <c r="K73" s="207">
        <f>F73-2467.51</f>
        <v>-1598.2800000000002</v>
      </c>
      <c r="L73" s="207">
        <f>F73/2467.51*100</f>
        <v>35.22701022488257</v>
      </c>
      <c r="M73" s="204">
        <f>E73-квітень!E69</f>
        <v>317.0999999999999</v>
      </c>
      <c r="N73" s="208">
        <f>F73-квітень!F69</f>
        <v>396.97</v>
      </c>
      <c r="O73" s="207">
        <f t="shared" si="17"/>
        <v>79.87000000000012</v>
      </c>
      <c r="P73" s="207">
        <f>N73/M73*100</f>
        <v>125.18763796909498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1490.85</v>
      </c>
      <c r="F74" s="222">
        <v>9113.39</v>
      </c>
      <c r="G74" s="202">
        <f t="shared" si="15"/>
        <v>7622.539999999999</v>
      </c>
      <c r="H74" s="204">
        <f>F74/E74*100</f>
        <v>611.2881913002649</v>
      </c>
      <c r="I74" s="207">
        <f t="shared" si="16"/>
        <v>3113.3899999999994</v>
      </c>
      <c r="J74" s="207">
        <f>F74/D74*100</f>
        <v>151.8898333333333</v>
      </c>
      <c r="K74" s="207">
        <f>F74-1668.2</f>
        <v>7445.19</v>
      </c>
      <c r="L74" s="207">
        <f>F74/1668.2*100</f>
        <v>546.3008032609998</v>
      </c>
      <c r="M74" s="204">
        <f>E74-квітень!E70</f>
        <v>302</v>
      </c>
      <c r="N74" s="208">
        <f>F74-квітень!F70</f>
        <v>303.3099999999995</v>
      </c>
      <c r="O74" s="207">
        <f t="shared" si="17"/>
        <v>1.3099999999994907</v>
      </c>
      <c r="P74" s="207">
        <f>N74/M74*100</f>
        <v>100.43377483443692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5</v>
      </c>
      <c r="F75" s="222">
        <v>5</v>
      </c>
      <c r="G75" s="202">
        <f t="shared" si="15"/>
        <v>0</v>
      </c>
      <c r="H75" s="204">
        <f>F75/E75*100</f>
        <v>100</v>
      </c>
      <c r="I75" s="207">
        <f t="shared" si="16"/>
        <v>-7</v>
      </c>
      <c r="J75" s="207">
        <f>F75/D75*100</f>
        <v>41.66666666666667</v>
      </c>
      <c r="K75" s="207">
        <f>F75-0</f>
        <v>5</v>
      </c>
      <c r="L75" s="207"/>
      <c r="M75" s="204">
        <f>E75-квітень!E71</f>
        <v>1</v>
      </c>
      <c r="N75" s="208">
        <f>F75-квітень!F71</f>
        <v>1</v>
      </c>
      <c r="O75" s="207">
        <f t="shared" si="17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4359.959999999999</v>
      </c>
      <c r="F76" s="225">
        <f>F72+F73+F74+F75</f>
        <v>11029.59</v>
      </c>
      <c r="G76" s="226">
        <f t="shared" si="15"/>
        <v>6669.630000000001</v>
      </c>
      <c r="H76" s="227">
        <f>F76/E76*100</f>
        <v>252.97456857402366</v>
      </c>
      <c r="I76" s="228">
        <f t="shared" si="16"/>
        <v>-6641.41</v>
      </c>
      <c r="J76" s="228">
        <f>F76/D76*100</f>
        <v>62.416331843132824</v>
      </c>
      <c r="K76" s="228">
        <f>F76-4329.67</f>
        <v>6699.92</v>
      </c>
      <c r="L76" s="228">
        <f>F76/4329.67*100</f>
        <v>254.74435696023022</v>
      </c>
      <c r="M76" s="226">
        <f>M72+M73+M74+M75</f>
        <v>1166.5</v>
      </c>
      <c r="N76" s="230">
        <f>N72+N73+N74+N75</f>
        <v>1442.3699999999994</v>
      </c>
      <c r="O76" s="228">
        <f t="shared" si="17"/>
        <v>275.86999999999944</v>
      </c>
      <c r="P76" s="228">
        <f>N76/M76*100</f>
        <v>123.64937848264033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4.4</v>
      </c>
      <c r="G77" s="202">
        <f t="shared" si="15"/>
        <v>4.4</v>
      </c>
      <c r="H77" s="204"/>
      <c r="I77" s="207">
        <f t="shared" si="16"/>
        <v>3.4000000000000004</v>
      </c>
      <c r="J77" s="207"/>
      <c r="K77" s="207">
        <f>F77-0</f>
        <v>4.4</v>
      </c>
      <c r="L77" s="207"/>
      <c r="M77" s="204">
        <f>E77-квітень!E73</f>
        <v>0</v>
      </c>
      <c r="N77" s="208">
        <f>F77-квітень!F73</f>
        <v>1.3400000000000003</v>
      </c>
      <c r="O77" s="207">
        <f t="shared" si="17"/>
        <v>1.3400000000000003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5"/>
        <v>0</v>
      </c>
      <c r="H78" s="204"/>
      <c r="I78" s="207">
        <f t="shared" si="16"/>
        <v>0</v>
      </c>
      <c r="J78" s="231"/>
      <c r="K78" s="207">
        <f>F78-0</f>
        <v>0</v>
      </c>
      <c r="L78" s="207">
        <f>F78/19.48*100</f>
        <v>0</v>
      </c>
      <c r="M78" s="204">
        <f>E78-березень!E73</f>
        <v>0</v>
      </c>
      <c r="N78" s="208">
        <f>F78-березень!F73</f>
        <v>0</v>
      </c>
      <c r="O78" s="207">
        <f t="shared" si="17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</v>
      </c>
      <c r="F79" s="222">
        <v>4887.77</v>
      </c>
      <c r="G79" s="202">
        <f t="shared" si="15"/>
        <v>-229.22999999999956</v>
      </c>
      <c r="H79" s="204">
        <f>F79/E79*100</f>
        <v>95.5202266953293</v>
      </c>
      <c r="I79" s="207">
        <f t="shared" si="16"/>
        <v>-4612.23</v>
      </c>
      <c r="J79" s="207">
        <f>F79/D79*100</f>
        <v>51.4502105263158</v>
      </c>
      <c r="K79" s="207">
        <f>F79-0</f>
        <v>4887.77</v>
      </c>
      <c r="L79" s="207"/>
      <c r="M79" s="204">
        <f>E79-квітень!E75</f>
        <v>3096.3</v>
      </c>
      <c r="N79" s="208">
        <f>F79-квітень!F75</f>
        <v>2852.2400000000007</v>
      </c>
      <c r="O79" s="207">
        <f>N79-M79</f>
        <v>-244.0599999999995</v>
      </c>
      <c r="P79" s="231">
        <f>N79/M79*100</f>
        <v>92.11768885443918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5"/>
        <v>0.69</v>
      </c>
      <c r="H80" s="204"/>
      <c r="I80" s="207">
        <f t="shared" si="16"/>
        <v>0.69</v>
      </c>
      <c r="J80" s="207"/>
      <c r="K80" s="207">
        <f>F80-0.95</f>
        <v>-0.26</v>
      </c>
      <c r="L80" s="207">
        <f>F80/0.95*100</f>
        <v>72.63157894736841</v>
      </c>
      <c r="M80" s="204">
        <f>E80-квітень!E76</f>
        <v>0</v>
      </c>
      <c r="N80" s="208">
        <f>F80-квітень!F76</f>
        <v>0.16999999999999993</v>
      </c>
      <c r="O80" s="207">
        <f t="shared" si="17"/>
        <v>0.16999999999999993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</v>
      </c>
      <c r="F81" s="225">
        <f>F77+F80+F78+F79</f>
        <v>4892.860000000001</v>
      </c>
      <c r="G81" s="224">
        <f>G77+G80+G78+G79</f>
        <v>-224.13999999999956</v>
      </c>
      <c r="H81" s="227">
        <f>F81/E81*100</f>
        <v>95.61969904240767</v>
      </c>
      <c r="I81" s="228">
        <f t="shared" si="16"/>
        <v>-4608.139999999999</v>
      </c>
      <c r="J81" s="228">
        <f>F81/D81*100</f>
        <v>51.498368592779705</v>
      </c>
      <c r="K81" s="228">
        <f>F81-0.95</f>
        <v>4891.910000000001</v>
      </c>
      <c r="L81" s="228">
        <f>F81/0.95*100</f>
        <v>515037.8947368422</v>
      </c>
      <c r="M81" s="226">
        <f>M77+M80+M78+M79</f>
        <v>3096.3</v>
      </c>
      <c r="N81" s="230">
        <f>N77+N80+N78+N79</f>
        <v>2853.750000000001</v>
      </c>
      <c r="O81" s="226">
        <f>O77+O80+O78+O79</f>
        <v>-242.5499999999995</v>
      </c>
      <c r="P81" s="228">
        <f>N81/M81*100</f>
        <v>92.16645673868814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13.8</v>
      </c>
      <c r="F82" s="222">
        <v>9.19</v>
      </c>
      <c r="G82" s="202">
        <f t="shared" si="15"/>
        <v>-4.610000000000001</v>
      </c>
      <c r="H82" s="204">
        <f>F82/E82*100</f>
        <v>66.59420289855072</v>
      </c>
      <c r="I82" s="207">
        <f t="shared" si="16"/>
        <v>-33.81</v>
      </c>
      <c r="J82" s="207">
        <f>F82/D82*100</f>
        <v>21.37209302325581</v>
      </c>
      <c r="K82" s="207">
        <f>F82-14.05</f>
        <v>-4.860000000000001</v>
      </c>
      <c r="L82" s="207">
        <f>F82/14.05*100</f>
        <v>65.40925266903915</v>
      </c>
      <c r="M82" s="204">
        <f>E82-квітень!E78</f>
        <v>0.6600000000000001</v>
      </c>
      <c r="N82" s="208">
        <f>F82-квітень!F78</f>
        <v>0</v>
      </c>
      <c r="O82" s="207">
        <f t="shared" si="17"/>
        <v>-0.6600000000000001</v>
      </c>
      <c r="P82" s="207">
        <f>N82/M82</f>
        <v>0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7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9490.759999999998</v>
      </c>
      <c r="F84" s="232">
        <f>F70+F82+F76+F81+F83</f>
        <v>15931.380000000001</v>
      </c>
      <c r="G84" s="233">
        <f>F84-E84</f>
        <v>6440.620000000003</v>
      </c>
      <c r="H84" s="234">
        <f>F84/E84*100</f>
        <v>167.86200472880998</v>
      </c>
      <c r="I84" s="235">
        <f>F84-D84</f>
        <v>-11283.619999999999</v>
      </c>
      <c r="J84" s="235">
        <f>F84/D84*100</f>
        <v>58.53896748116848</v>
      </c>
      <c r="K84" s="235">
        <f>F84-4325.48</f>
        <v>11605.900000000001</v>
      </c>
      <c r="L84" s="235">
        <f>F84/4325.48*100</f>
        <v>368.31473038830376</v>
      </c>
      <c r="M84" s="232">
        <f>M70+M82+M76+M81</f>
        <v>4263.46</v>
      </c>
      <c r="N84" s="232">
        <f>N70+N82+N76+N81+N83</f>
        <v>4291.63</v>
      </c>
      <c r="O84" s="235">
        <f t="shared" si="17"/>
        <v>28.170000000000073</v>
      </c>
      <c r="P84" s="235">
        <f>N84/M84*100</f>
        <v>100.66073095560884</v>
      </c>
      <c r="Q84" s="28">
        <f>N84-8104.96</f>
        <v>-3813.33</v>
      </c>
      <c r="R84" s="101">
        <f>N84/8104.96</f>
        <v>0.5295066231048642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379744.17000000004</v>
      </c>
      <c r="F85" s="232">
        <f>F63+F84</f>
        <v>413780.67</v>
      </c>
      <c r="G85" s="233">
        <f>F85-E85</f>
        <v>34036.49999999994</v>
      </c>
      <c r="H85" s="234">
        <f>F85/E85*100</f>
        <v>108.96300791135252</v>
      </c>
      <c r="I85" s="235">
        <f>F85-D85</f>
        <v>-497334.93</v>
      </c>
      <c r="J85" s="235">
        <f>F85/D85*100</f>
        <v>45.414727834755546</v>
      </c>
      <c r="K85" s="235">
        <f>F85-265734.15-4325.48</f>
        <v>143721.03999999995</v>
      </c>
      <c r="L85" s="235">
        <f>F85/(265734.15+4325.48)*100</f>
        <v>153.2182614632183</v>
      </c>
      <c r="M85" s="233">
        <f>M63+M84</f>
        <v>88588.56000000003</v>
      </c>
      <c r="N85" s="233">
        <f>N63+N84</f>
        <v>91235.776</v>
      </c>
      <c r="O85" s="235">
        <f t="shared" si="17"/>
        <v>2647.2159999999712</v>
      </c>
      <c r="P85" s="235">
        <f>N85/M85*100</f>
        <v>102.9882142795864</v>
      </c>
      <c r="Q85" s="28">
        <f>N85-42872.96</f>
        <v>48362.816</v>
      </c>
      <c r="R85" s="101">
        <f>N85/42872.96</f>
        <v>2.1280493812416963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39"/>
      <c r="H88" s="439"/>
      <c r="I88" s="439"/>
      <c r="J88" s="439"/>
      <c r="K88" s="90"/>
      <c r="L88" s="90"/>
      <c r="P88" s="26"/>
      <c r="Q88" s="26"/>
    </row>
    <row r="89" spans="2:15" ht="34.5" customHeight="1">
      <c r="B89" s="58" t="s">
        <v>56</v>
      </c>
      <c r="C89" s="87">
        <v>42521</v>
      </c>
      <c r="D89" s="31">
        <v>5773.8</v>
      </c>
      <c r="G89" s="4" t="s">
        <v>59</v>
      </c>
      <c r="N89" s="440"/>
      <c r="O89" s="440"/>
    </row>
    <row r="90" spans="3:15" ht="15">
      <c r="C90" s="87">
        <v>42520</v>
      </c>
      <c r="D90" s="31">
        <v>8891</v>
      </c>
      <c r="F90" s="124" t="s">
        <v>59</v>
      </c>
      <c r="G90" s="441"/>
      <c r="H90" s="441"/>
      <c r="I90" s="131"/>
      <c r="J90" s="442"/>
      <c r="K90" s="442"/>
      <c r="L90" s="442"/>
      <c r="M90" s="442"/>
      <c r="N90" s="440"/>
      <c r="O90" s="440"/>
    </row>
    <row r="91" spans="3:15" ht="15.75" customHeight="1">
      <c r="C91" s="87">
        <v>42517</v>
      </c>
      <c r="D91" s="31">
        <v>7356.3</v>
      </c>
      <c r="F91" s="73"/>
      <c r="G91" s="441"/>
      <c r="H91" s="441"/>
      <c r="I91" s="131"/>
      <c r="J91" s="443"/>
      <c r="K91" s="443"/>
      <c r="L91" s="443"/>
      <c r="M91" s="443"/>
      <c r="N91" s="440"/>
      <c r="O91" s="440"/>
    </row>
    <row r="92" spans="3:13" ht="15.75" customHeight="1">
      <c r="C92" s="87"/>
      <c r="F92" s="73"/>
      <c r="G92" s="447"/>
      <c r="H92" s="447"/>
      <c r="I92" s="139"/>
      <c r="J92" s="442"/>
      <c r="K92" s="442"/>
      <c r="L92" s="442"/>
      <c r="M92" s="442"/>
    </row>
    <row r="93" spans="2:13" ht="18.75" customHeight="1">
      <c r="B93" s="448" t="s">
        <v>57</v>
      </c>
      <c r="C93" s="449"/>
      <c r="D93" s="148">
        <v>2811.04042</v>
      </c>
      <c r="E93" s="74"/>
      <c r="F93" s="140" t="s">
        <v>137</v>
      </c>
      <c r="G93" s="441"/>
      <c r="H93" s="441"/>
      <c r="I93" s="141"/>
      <c r="J93" s="442"/>
      <c r="K93" s="442"/>
      <c r="L93" s="442"/>
      <c r="M93" s="442"/>
    </row>
    <row r="94" spans="6:12" ht="9.75" customHeight="1">
      <c r="F94" s="73"/>
      <c r="G94" s="441"/>
      <c r="H94" s="441"/>
      <c r="I94" s="73"/>
      <c r="J94" s="74"/>
      <c r="K94" s="74"/>
      <c r="L94" s="74"/>
    </row>
    <row r="95" spans="2:12" ht="22.5" customHeight="1">
      <c r="B95" s="444" t="s">
        <v>60</v>
      </c>
      <c r="C95" s="445"/>
      <c r="D95" s="86">
        <v>0</v>
      </c>
      <c r="E95" s="56" t="s">
        <v>24</v>
      </c>
      <c r="F95" s="73"/>
      <c r="G95" s="441"/>
      <c r="H95" s="441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568</v>
      </c>
      <c r="F96" s="247">
        <f>F44+F47+F48</f>
        <v>117.97999999999999</v>
      </c>
      <c r="G96" s="73">
        <f aca="true" t="shared" si="18" ref="G96:O96">G44+G47+G48</f>
        <v>-450.02</v>
      </c>
      <c r="H96" s="73"/>
      <c r="I96" s="73"/>
      <c r="J96" s="73"/>
      <c r="K96" s="73"/>
      <c r="L96" s="73"/>
      <c r="M96" s="73">
        <f t="shared" si="18"/>
        <v>142</v>
      </c>
      <c r="N96" s="247">
        <f t="shared" si="18"/>
        <v>116.61</v>
      </c>
      <c r="O96" s="73">
        <f t="shared" si="18"/>
        <v>-25.39</v>
      </c>
    </row>
    <row r="97" spans="4:15" ht="15">
      <c r="D97" s="83"/>
      <c r="I97" s="31"/>
      <c r="N97" s="446"/>
      <c r="O97" s="446"/>
    </row>
    <row r="98" spans="14:15" ht="15">
      <c r="N98" s="441"/>
      <c r="O98" s="441"/>
    </row>
    <row r="102" ht="15">
      <c r="E102" s="4" t="s">
        <v>59</v>
      </c>
    </row>
  </sheetData>
  <sheetProtection/>
  <mergeCells count="38"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  <mergeCell ref="G90:H90"/>
    <mergeCell ref="J90:M90"/>
    <mergeCell ref="N90:O90"/>
    <mergeCell ref="G91:H91"/>
    <mergeCell ref="J91:M91"/>
    <mergeCell ref="N91:O91"/>
    <mergeCell ref="O4:O5"/>
    <mergeCell ref="P4:P5"/>
    <mergeCell ref="K5:L5"/>
    <mergeCell ref="Q5:R5"/>
    <mergeCell ref="G88:J88"/>
    <mergeCell ref="N89:O89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horizontalDpi="600" verticalDpi="600" orientation="portrait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98"/>
  <sheetViews>
    <sheetView zoomScale="88" zoomScaleNormal="88" zoomScalePageLayoutView="0" workbookViewId="0" topLeftCell="B1">
      <pane xSplit="2" ySplit="8" topLeftCell="F4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4" sqref="F5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13" t="s">
        <v>156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92"/>
      <c r="R1" s="93"/>
    </row>
    <row r="2" spans="2:18" s="1" customFormat="1" ht="15.75" customHeight="1">
      <c r="B2" s="453"/>
      <c r="C2" s="453"/>
      <c r="D2" s="453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5"/>
      <c r="B3" s="417"/>
      <c r="C3" s="418" t="s">
        <v>0</v>
      </c>
      <c r="D3" s="419" t="s">
        <v>121</v>
      </c>
      <c r="E3" s="34"/>
      <c r="F3" s="420" t="s">
        <v>26</v>
      </c>
      <c r="G3" s="421"/>
      <c r="H3" s="421"/>
      <c r="I3" s="421"/>
      <c r="J3" s="422"/>
      <c r="K3" s="89"/>
      <c r="L3" s="89"/>
      <c r="M3" s="423" t="s">
        <v>153</v>
      </c>
      <c r="N3" s="426" t="s">
        <v>154</v>
      </c>
      <c r="O3" s="426"/>
      <c r="P3" s="426"/>
      <c r="Q3" s="426"/>
      <c r="R3" s="426"/>
    </row>
    <row r="4" spans="1:18" ht="22.5" customHeight="1">
      <c r="A4" s="415"/>
      <c r="B4" s="417"/>
      <c r="C4" s="418"/>
      <c r="D4" s="419"/>
      <c r="E4" s="427" t="s">
        <v>150</v>
      </c>
      <c r="F4" s="454" t="s">
        <v>34</v>
      </c>
      <c r="G4" s="431" t="s">
        <v>151</v>
      </c>
      <c r="H4" s="424" t="s">
        <v>152</v>
      </c>
      <c r="I4" s="431" t="s">
        <v>122</v>
      </c>
      <c r="J4" s="424" t="s">
        <v>123</v>
      </c>
      <c r="K4" s="91" t="s">
        <v>65</v>
      </c>
      <c r="L4" s="96" t="s">
        <v>64</v>
      </c>
      <c r="M4" s="424"/>
      <c r="N4" s="433" t="s">
        <v>157</v>
      </c>
      <c r="O4" s="431" t="s">
        <v>50</v>
      </c>
      <c r="P4" s="435" t="s">
        <v>49</v>
      </c>
      <c r="Q4" s="97" t="s">
        <v>65</v>
      </c>
      <c r="R4" s="98" t="s">
        <v>64</v>
      </c>
    </row>
    <row r="5" spans="1:18" ht="78.75" customHeight="1">
      <c r="A5" s="416"/>
      <c r="B5" s="417"/>
      <c r="C5" s="418"/>
      <c r="D5" s="419"/>
      <c r="E5" s="428"/>
      <c r="F5" s="455"/>
      <c r="G5" s="432"/>
      <c r="H5" s="425"/>
      <c r="I5" s="432"/>
      <c r="J5" s="425"/>
      <c r="K5" s="436" t="s">
        <v>155</v>
      </c>
      <c r="L5" s="438"/>
      <c r="M5" s="425"/>
      <c r="N5" s="434"/>
      <c r="O5" s="432"/>
      <c r="P5" s="435"/>
      <c r="Q5" s="436" t="s">
        <v>120</v>
      </c>
      <c r="R5" s="43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271674.68</v>
      </c>
      <c r="F8" s="191">
        <f>F9+F15+F18+F19+F20+F32+F17</f>
        <v>294130.62999999995</v>
      </c>
      <c r="G8" s="191">
        <f aca="true" t="shared" si="0" ref="G8:G21">F8-E8</f>
        <v>22455.949999999953</v>
      </c>
      <c r="H8" s="192">
        <f>F8/E8*100</f>
        <v>108.26575005075922</v>
      </c>
      <c r="I8" s="193">
        <f>F8-D8</f>
        <v>-546919.3700000001</v>
      </c>
      <c r="J8" s="193">
        <f>F8/D8*100</f>
        <v>34.97183639498246</v>
      </c>
      <c r="K8" s="191">
        <f>F8-198537.14</f>
        <v>95593.48999999993</v>
      </c>
      <c r="L8" s="191">
        <f>F8/198537.14*100</f>
        <v>148.14892065031256</v>
      </c>
      <c r="M8" s="191">
        <f>M9+M15+M18+M19+M20+M32+M17</f>
        <v>71360.49999999999</v>
      </c>
      <c r="N8" s="191">
        <f>N9+N15+N18+N19+N20+N32+N17</f>
        <v>84342.91999999997</v>
      </c>
      <c r="O8" s="191">
        <f>N8-M8</f>
        <v>12982.419999999984</v>
      </c>
      <c r="P8" s="191">
        <f>N8/M8*100</f>
        <v>118.19272566756116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145783.27</v>
      </c>
      <c r="F9" s="196">
        <v>158037.8</v>
      </c>
      <c r="G9" s="190">
        <f t="shared" si="0"/>
        <v>12254.529999999999</v>
      </c>
      <c r="H9" s="197">
        <f>F9/E9*100</f>
        <v>108.40599199071335</v>
      </c>
      <c r="I9" s="198">
        <f>F9-D9</f>
        <v>-301662.2</v>
      </c>
      <c r="J9" s="198">
        <f>F9/D9*100</f>
        <v>34.3784642157929</v>
      </c>
      <c r="K9" s="199">
        <f>F9-110765.65</f>
        <v>47272.149999999994</v>
      </c>
      <c r="L9" s="199">
        <f>F9/110765.65*100</f>
        <v>142.67762614131726</v>
      </c>
      <c r="M9" s="197">
        <f>E9-березень!E9</f>
        <v>39799.999999999985</v>
      </c>
      <c r="N9" s="200">
        <f>F9-березень!F9</f>
        <v>45755.97999999998</v>
      </c>
      <c r="O9" s="201">
        <f>N9-M9</f>
        <v>5955.979999999996</v>
      </c>
      <c r="P9" s="198">
        <f>N9/M9*100</f>
        <v>114.96477386934674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137815.99</v>
      </c>
      <c r="G10" s="109">
        <f t="shared" si="0"/>
        <v>6899.149999999994</v>
      </c>
      <c r="H10" s="32">
        <f aca="true" t="shared" si="1" ref="H10:H31">F10/E10*100</f>
        <v>105.26987208062766</v>
      </c>
      <c r="I10" s="110">
        <f aca="true" t="shared" si="2" ref="I10:I32">F10-D10</f>
        <v>-273624.01</v>
      </c>
      <c r="J10" s="110">
        <f aca="true" t="shared" si="3" ref="J10:J31">F10/D10*100</f>
        <v>33.49601156912308</v>
      </c>
      <c r="K10" s="112">
        <f>F10-98351.31</f>
        <v>39464.67999999999</v>
      </c>
      <c r="L10" s="112">
        <f>F10/98351.31*100</f>
        <v>140.12623726110002</v>
      </c>
      <c r="M10" s="111">
        <f>E10-березень!E10</f>
        <v>36300</v>
      </c>
      <c r="N10" s="179">
        <f>F10-березень!F10</f>
        <v>39351.609999999986</v>
      </c>
      <c r="O10" s="112">
        <f aca="true" t="shared" si="4" ref="O10:O32">N10-M10</f>
        <v>3051.609999999986</v>
      </c>
      <c r="P10" s="42">
        <f aca="true" t="shared" si="5" ref="P10:P25">N10/M10*100</f>
        <v>108.40663911845726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11487.54</v>
      </c>
      <c r="G11" s="109">
        <f t="shared" si="0"/>
        <v>2852.6000000000004</v>
      </c>
      <c r="H11" s="32">
        <f t="shared" si="1"/>
        <v>133.03555091291892</v>
      </c>
      <c r="I11" s="110">
        <f t="shared" si="2"/>
        <v>-11512.46</v>
      </c>
      <c r="J11" s="110">
        <f t="shared" si="3"/>
        <v>49.94582608695652</v>
      </c>
      <c r="K11" s="112">
        <f>F11-6301.46</f>
        <v>5186.080000000001</v>
      </c>
      <c r="L11" s="112">
        <f>F11/6301.46*100</f>
        <v>182.2996575396813</v>
      </c>
      <c r="M11" s="111">
        <f>E11-березень!E11</f>
        <v>1550.000000000001</v>
      </c>
      <c r="N11" s="179">
        <f>F11-березень!F11</f>
        <v>3410.430000000001</v>
      </c>
      <c r="O11" s="112">
        <f t="shared" si="4"/>
        <v>1860.4300000000003</v>
      </c>
      <c r="P11" s="42">
        <f t="shared" si="5"/>
        <v>220.02774193548382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4096.43</v>
      </c>
      <c r="G12" s="109">
        <f t="shared" si="0"/>
        <v>2405.8200000000006</v>
      </c>
      <c r="H12" s="32">
        <f t="shared" si="1"/>
        <v>242.30484854579117</v>
      </c>
      <c r="I12" s="110">
        <f t="shared" si="2"/>
        <v>-2403.5699999999997</v>
      </c>
      <c r="J12" s="110">
        <f t="shared" si="3"/>
        <v>63.022</v>
      </c>
      <c r="K12" s="112">
        <f>F12-1718.24</f>
        <v>2378.1900000000005</v>
      </c>
      <c r="L12" s="112">
        <f>F12/1718.24*100</f>
        <v>238.40848775491202</v>
      </c>
      <c r="M12" s="111">
        <f>E12-березень!E12</f>
        <v>585</v>
      </c>
      <c r="N12" s="179">
        <f>F12-березень!F12</f>
        <v>1716.9600000000005</v>
      </c>
      <c r="O12" s="112">
        <f t="shared" si="4"/>
        <v>1131.9600000000005</v>
      </c>
      <c r="P12" s="42">
        <f t="shared" si="5"/>
        <v>293.497435897436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3211.48</v>
      </c>
      <c r="G13" s="109">
        <f t="shared" si="0"/>
        <v>546.6399999999999</v>
      </c>
      <c r="H13" s="32">
        <f t="shared" si="1"/>
        <v>120.51305144023657</v>
      </c>
      <c r="I13" s="110">
        <f t="shared" si="2"/>
        <v>-9188.52</v>
      </c>
      <c r="J13" s="110">
        <f t="shared" si="3"/>
        <v>25.899032258064516</v>
      </c>
      <c r="K13" s="112">
        <f>F13-1662.77</f>
        <v>1548.71</v>
      </c>
      <c r="L13" s="112">
        <f>F13/1662.77*100</f>
        <v>193.14036216674586</v>
      </c>
      <c r="M13" s="111">
        <f>E13-березень!E13</f>
        <v>755.0000000000002</v>
      </c>
      <c r="N13" s="179">
        <f>F13-березень!F13</f>
        <v>786.54</v>
      </c>
      <c r="O13" s="112">
        <f t="shared" si="4"/>
        <v>31.539999999999736</v>
      </c>
      <c r="P13" s="42">
        <f t="shared" si="5"/>
        <v>104.17748344370857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120</v>
      </c>
      <c r="F15" s="196">
        <v>185.84</v>
      </c>
      <c r="G15" s="190">
        <f t="shared" si="0"/>
        <v>65.84</v>
      </c>
      <c r="H15" s="197">
        <f>F15/E15*100</f>
        <v>154.86666666666667</v>
      </c>
      <c r="I15" s="198">
        <f t="shared" si="2"/>
        <v>-314.15999999999997</v>
      </c>
      <c r="J15" s="198">
        <f t="shared" si="3"/>
        <v>37.168</v>
      </c>
      <c r="K15" s="201">
        <f>F15-(-910.25)</f>
        <v>1096.09</v>
      </c>
      <c r="L15" s="201">
        <f>F15/(-910.25)*100</f>
        <v>-20.416369129360064</v>
      </c>
      <c r="M15" s="197">
        <f>E15-березень!E15</f>
        <v>10</v>
      </c>
      <c r="N15" s="200">
        <f>F15-березень!F15</f>
        <v>0.7800000000000011</v>
      </c>
      <c r="O15" s="201">
        <f t="shared" si="4"/>
        <v>-9.219999999999999</v>
      </c>
      <c r="P15" s="198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204">
        <f>E17-березень!E17</f>
        <v>0</v>
      </c>
      <c r="N17" s="208">
        <f>F17-березень!F17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E18-березень!E18</f>
        <v>0</v>
      </c>
      <c r="N18" s="200">
        <f>F18-березень!F18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28560.4</v>
      </c>
      <c r="F19" s="196">
        <v>26018.63</v>
      </c>
      <c r="G19" s="190">
        <f t="shared" si="0"/>
        <v>-2541.7700000000004</v>
      </c>
      <c r="H19" s="197">
        <f t="shared" si="1"/>
        <v>91.10036974272069</v>
      </c>
      <c r="I19" s="198">
        <f t="shared" si="2"/>
        <v>-83881.37</v>
      </c>
      <c r="J19" s="198">
        <f t="shared" si="3"/>
        <v>23.674822565969063</v>
      </c>
      <c r="K19" s="209">
        <f>F19-16357.62</f>
        <v>9661.01</v>
      </c>
      <c r="L19" s="209">
        <f>F19/16357.62*100</f>
        <v>159.06122039758841</v>
      </c>
      <c r="M19" s="197">
        <f>E19-березень!E19</f>
        <v>8500</v>
      </c>
      <c r="N19" s="200">
        <f>F19-березень!F19</f>
        <v>7747.740000000002</v>
      </c>
      <c r="O19" s="201">
        <f t="shared" si="4"/>
        <v>-752.2599999999984</v>
      </c>
      <c r="P19" s="198">
        <f t="shared" si="5"/>
        <v>91.14988235294119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97201.01000000001</v>
      </c>
      <c r="F20" s="210">
        <f>F21+F25+F27+F26</f>
        <v>109782.51</v>
      </c>
      <c r="G20" s="190">
        <f t="shared" si="0"/>
        <v>12581.499999999985</v>
      </c>
      <c r="H20" s="197">
        <f t="shared" si="1"/>
        <v>112.94379554286522</v>
      </c>
      <c r="I20" s="198">
        <f t="shared" si="2"/>
        <v>-161157.49</v>
      </c>
      <c r="J20" s="198">
        <f t="shared" si="3"/>
        <v>40.51912231490367</v>
      </c>
      <c r="K20" s="198">
        <f>F20-70294.13</f>
        <v>39488.37999999999</v>
      </c>
      <c r="L20" s="198">
        <f>F20/70294.13*100</f>
        <v>156.17592820339334</v>
      </c>
      <c r="M20" s="197">
        <f>M21+M25+M26+M27</f>
        <v>23050.5</v>
      </c>
      <c r="N20" s="200">
        <f>F20-березень!F20</f>
        <v>30838.419999999984</v>
      </c>
      <c r="O20" s="201">
        <f t="shared" si="4"/>
        <v>7787.919999999984</v>
      </c>
      <c r="P20" s="198">
        <f t="shared" si="5"/>
        <v>133.7863386911346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51686.26</v>
      </c>
      <c r="F21" s="211">
        <f>F22+F23+F24</f>
        <v>58036.25</v>
      </c>
      <c r="G21" s="190">
        <f t="shared" si="0"/>
        <v>6349.989999999998</v>
      </c>
      <c r="H21" s="197">
        <f t="shared" si="1"/>
        <v>112.28564419247977</v>
      </c>
      <c r="I21" s="198">
        <f t="shared" si="2"/>
        <v>-103363.75</v>
      </c>
      <c r="J21" s="198">
        <f t="shared" si="3"/>
        <v>35.95802354399009</v>
      </c>
      <c r="K21" s="198">
        <f>F21-37283.9</f>
        <v>20752.35</v>
      </c>
      <c r="L21" s="198">
        <f>F21/37283.9*100</f>
        <v>155.66035205544483</v>
      </c>
      <c r="M21" s="197">
        <f>M22+M23+M24</f>
        <v>14845</v>
      </c>
      <c r="N21" s="200">
        <f>F21-березень!F21</f>
        <v>17648.14</v>
      </c>
      <c r="O21" s="201">
        <f t="shared" si="4"/>
        <v>2803.1399999999994</v>
      </c>
      <c r="P21" s="198">
        <f t="shared" si="5"/>
        <v>118.88272145503535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6631.6</v>
      </c>
      <c r="F22" s="213">
        <v>8413.21</v>
      </c>
      <c r="G22" s="212">
        <f>F22-E22</f>
        <v>1781.6099999999988</v>
      </c>
      <c r="H22" s="214">
        <f t="shared" si="1"/>
        <v>126.8654623318656</v>
      </c>
      <c r="I22" s="215">
        <f t="shared" si="2"/>
        <v>-10086.79</v>
      </c>
      <c r="J22" s="215">
        <f t="shared" si="3"/>
        <v>45.47681081081081</v>
      </c>
      <c r="K22" s="216">
        <f>F22-4219.07</f>
        <v>4194.139999999999</v>
      </c>
      <c r="L22" s="216">
        <f>F22/4219.07*100</f>
        <v>199.40911148665464</v>
      </c>
      <c r="M22" s="214">
        <f>E22-березень!E22</f>
        <v>3100.0000000000005</v>
      </c>
      <c r="N22" s="217">
        <f>F22-березень!F22</f>
        <v>4218.319999999999</v>
      </c>
      <c r="O22" s="218">
        <f t="shared" si="4"/>
        <v>1118.3199999999983</v>
      </c>
      <c r="P22" s="215">
        <f t="shared" si="5"/>
        <v>136.07483870967735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386.58</v>
      </c>
      <c r="G23" s="212">
        <f>F23-E23</f>
        <v>109.74000000000001</v>
      </c>
      <c r="H23" s="214">
        <f t="shared" si="1"/>
        <v>139.64022540095363</v>
      </c>
      <c r="I23" s="215">
        <f t="shared" si="2"/>
        <v>-2413.42</v>
      </c>
      <c r="J23" s="215">
        <f t="shared" si="3"/>
        <v>13.806428571428569</v>
      </c>
      <c r="K23" s="215">
        <f>F23-141.72</f>
        <v>244.85999999999999</v>
      </c>
      <c r="L23" s="215">
        <f>F23/141.72*100</f>
        <v>272.77730736663847</v>
      </c>
      <c r="M23" s="214">
        <f>E23-березень!E23</f>
        <v>74.99999999999997</v>
      </c>
      <c r="N23" s="217">
        <f>F23-березень!F23</f>
        <v>72.69999999999999</v>
      </c>
      <c r="O23" s="218">
        <f t="shared" si="4"/>
        <v>-2.299999999999983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44777.82</v>
      </c>
      <c r="F24" s="213">
        <v>49236.46</v>
      </c>
      <c r="G24" s="212">
        <f>F24-E24</f>
        <v>4458.639999999999</v>
      </c>
      <c r="H24" s="214">
        <f t="shared" si="1"/>
        <v>109.9572511569344</v>
      </c>
      <c r="I24" s="215">
        <f t="shared" si="2"/>
        <v>-90863.54000000001</v>
      </c>
      <c r="J24" s="215">
        <f t="shared" si="3"/>
        <v>35.14379728765168</v>
      </c>
      <c r="K24" s="216">
        <f>F24-32923.11</f>
        <v>16313.349999999999</v>
      </c>
      <c r="L24" s="216">
        <f>F24/32923.11*100</f>
        <v>149.54984507842667</v>
      </c>
      <c r="M24" s="214">
        <f>E24-березень!E24</f>
        <v>11670</v>
      </c>
      <c r="N24" s="217">
        <f>F24-березень!F24</f>
        <v>13357.120000000003</v>
      </c>
      <c r="O24" s="218">
        <f t="shared" si="4"/>
        <v>1687.1200000000026</v>
      </c>
      <c r="P24" s="215">
        <f t="shared" si="5"/>
        <v>114.45689802913455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19.51</v>
      </c>
      <c r="F25" s="196">
        <v>32.71</v>
      </c>
      <c r="G25" s="190">
        <f>F25-E25</f>
        <v>13.2</v>
      </c>
      <c r="H25" s="197">
        <f t="shared" si="1"/>
        <v>167.65761148129164</v>
      </c>
      <c r="I25" s="198">
        <f t="shared" si="2"/>
        <v>-44.29</v>
      </c>
      <c r="J25" s="198">
        <f t="shared" si="3"/>
        <v>42.48051948051948</v>
      </c>
      <c r="K25" s="198">
        <f>F25-23.16</f>
        <v>9.55</v>
      </c>
      <c r="L25" s="198">
        <f>F25/23.16*100</f>
        <v>141.2348877374784</v>
      </c>
      <c r="M25" s="197">
        <f>E25-березень!E25</f>
        <v>5.500000000000002</v>
      </c>
      <c r="N25" s="200">
        <f>F25-березень!F25</f>
        <v>7.900000000000002</v>
      </c>
      <c r="O25" s="201">
        <f t="shared" si="4"/>
        <v>2.4000000000000004</v>
      </c>
      <c r="P25" s="198">
        <f t="shared" si="5"/>
        <v>143.63636363636363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-107.01</v>
      </c>
      <c r="G26" s="190">
        <f aca="true" t="shared" si="6" ref="G26:G32">F26-E26</f>
        <v>-107.01</v>
      </c>
      <c r="H26" s="197"/>
      <c r="I26" s="198">
        <f t="shared" si="2"/>
        <v>-107.01</v>
      </c>
      <c r="J26" s="198"/>
      <c r="K26" s="198">
        <f>F26-(-59.24)</f>
        <v>-47.77</v>
      </c>
      <c r="L26" s="198">
        <f>F26/(-59.24)*100</f>
        <v>180.63808237677245</v>
      </c>
      <c r="M26" s="197">
        <f>E26-березень!E26</f>
        <v>0</v>
      </c>
      <c r="N26" s="200">
        <f>F26-березень!F26</f>
        <v>-25.47</v>
      </c>
      <c r="O26" s="201">
        <f t="shared" si="4"/>
        <v>-25.47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51820.56</v>
      </c>
      <c r="G27" s="202">
        <f t="shared" si="6"/>
        <v>6325.32</v>
      </c>
      <c r="H27" s="204">
        <f t="shared" si="1"/>
        <v>113.90325669234846</v>
      </c>
      <c r="I27" s="205">
        <f t="shared" si="2"/>
        <v>-57642.44</v>
      </c>
      <c r="J27" s="205">
        <f t="shared" si="3"/>
        <v>47.340708732631114</v>
      </c>
      <c r="K27" s="219">
        <f>F27-33046.32</f>
        <v>18774.239999999998</v>
      </c>
      <c r="L27" s="219">
        <f>F27/33046.32*100</f>
        <v>156.8118931245597</v>
      </c>
      <c r="M27" s="204">
        <f>E27-березень!E27</f>
        <v>8200</v>
      </c>
      <c r="N27" s="208">
        <f>F27-березень!F27</f>
        <v>13207.849999999999</v>
      </c>
      <c r="O27" s="207">
        <f t="shared" si="4"/>
        <v>5007.8499999999985</v>
      </c>
      <c r="P27" s="205">
        <f>N27/M27*100</f>
        <v>161.07134146341463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12484.76</v>
      </c>
      <c r="G29" s="109">
        <f t="shared" si="6"/>
        <v>1228.7900000000009</v>
      </c>
      <c r="H29" s="111">
        <f t="shared" si="1"/>
        <v>110.91678460408123</v>
      </c>
      <c r="I29" s="110">
        <f t="shared" si="2"/>
        <v>-15115.24</v>
      </c>
      <c r="J29" s="110">
        <f t="shared" si="3"/>
        <v>45.23463768115942</v>
      </c>
      <c r="K29" s="142">
        <f>F29-8182.41</f>
        <v>4302.35</v>
      </c>
      <c r="L29" s="142">
        <f>F29/8182.41*100</f>
        <v>152.58047445679207</v>
      </c>
      <c r="M29" s="111">
        <f>E29-березень!E29</f>
        <v>1900</v>
      </c>
      <c r="N29" s="179">
        <f>F29-березень!F29</f>
        <v>2672.2700000000004</v>
      </c>
      <c r="O29" s="112">
        <f t="shared" si="4"/>
        <v>772.2700000000004</v>
      </c>
      <c r="P29" s="110">
        <f>N29/M29*100</f>
        <v>140.64578947368423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39321.61</v>
      </c>
      <c r="G30" s="109">
        <f t="shared" si="6"/>
        <v>5085.529999999999</v>
      </c>
      <c r="H30" s="111">
        <f t="shared" si="1"/>
        <v>114.85429990816705</v>
      </c>
      <c r="I30" s="110">
        <f t="shared" si="2"/>
        <v>-42490.39</v>
      </c>
      <c r="J30" s="110">
        <f t="shared" si="3"/>
        <v>48.06337701070748</v>
      </c>
      <c r="K30" s="142">
        <f>F30-24859.36</f>
        <v>14462.25</v>
      </c>
      <c r="L30" s="142">
        <f>F30/24859.36*100</f>
        <v>158.17627646085822</v>
      </c>
      <c r="M30" s="111">
        <f>E30-березень!E30</f>
        <v>6300</v>
      </c>
      <c r="N30" s="179">
        <f>F30-березень!F30</f>
        <v>10529.23</v>
      </c>
      <c r="O30" s="112">
        <f t="shared" si="4"/>
        <v>4229.23</v>
      </c>
      <c r="P30" s="110">
        <f>N30/M30*100</f>
        <v>167.13063492063492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14.01</v>
      </c>
      <c r="G31" s="109">
        <f t="shared" si="6"/>
        <v>10.82</v>
      </c>
      <c r="H31" s="111">
        <f t="shared" si="1"/>
        <v>439.1849529780564</v>
      </c>
      <c r="I31" s="110">
        <f t="shared" si="2"/>
        <v>-36.99</v>
      </c>
      <c r="J31" s="110">
        <f t="shared" si="3"/>
        <v>27.47058823529412</v>
      </c>
      <c r="K31" s="142">
        <f>F31-5.75</f>
        <v>8.26</v>
      </c>
      <c r="L31" s="142">
        <f>F31/5.75*100</f>
        <v>243.65217391304347</v>
      </c>
      <c r="M31" s="111">
        <f>E31-березень!E31</f>
        <v>0</v>
      </c>
      <c r="N31" s="179">
        <f>F31-березень!F31</f>
        <v>6.319999999999999</v>
      </c>
      <c r="O31" s="112">
        <f t="shared" si="4"/>
        <v>6.319999999999999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14246.029999999999</v>
      </c>
      <c r="F33" s="15">
        <f>F34+F35+F36+F37+F38+F40+F42+F43+F44+F45+F46+F51+F52+F56+F39</f>
        <v>16760.644</v>
      </c>
      <c r="G33" s="191">
        <f>G34+G35+G36+G37+G38+G40+G42+G43+G44+G45+G46+G51+G52+G56</f>
        <v>2507.8139999999994</v>
      </c>
      <c r="H33" s="192">
        <f>F33/E33*100</f>
        <v>117.65133163414652</v>
      </c>
      <c r="I33" s="193">
        <f>F33-D33</f>
        <v>-26059.356</v>
      </c>
      <c r="J33" s="193">
        <f>F33/D33*100</f>
        <v>39.142092480149465</v>
      </c>
      <c r="K33" s="191">
        <f>F33-10433.59</f>
        <v>6327.054</v>
      </c>
      <c r="L33" s="191">
        <f>F33/10433.59*100</f>
        <v>160.6411982836205</v>
      </c>
      <c r="M33" s="191">
        <f>M34+M35+M36+M37+M38+M40+M42+M43+M44+M45+M46+M51+M52+M56</f>
        <v>3735.999</v>
      </c>
      <c r="N33" s="191">
        <f>N34+N35+N36+N37+N38+N40+N42+N43+N44+N45+N46+N51+N52+N56+N39</f>
        <v>6088.357000000001</v>
      </c>
      <c r="O33" s="191">
        <f>O34+O35+O36+O37+O38+O40+O42+O43+O44+O45+O46+O51+O52+O56</f>
        <v>2345.558000000001</v>
      </c>
      <c r="P33" s="191">
        <f>N33/M33*100</f>
        <v>162.96463141451594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95.746</v>
      </c>
      <c r="G34" s="202">
        <f>F34-E34</f>
        <v>41.745999999999995</v>
      </c>
      <c r="H34" s="204">
        <f aca="true" t="shared" si="7" ref="H34:H57">F34/E34*100</f>
        <v>177.3074074074074</v>
      </c>
      <c r="I34" s="205">
        <f>F34-D34</f>
        <v>-4.254000000000005</v>
      </c>
      <c r="J34" s="205">
        <f>F34/D34*100</f>
        <v>95.746</v>
      </c>
      <c r="K34" s="205">
        <f>F34-83.98</f>
        <v>11.765999999999991</v>
      </c>
      <c r="L34" s="205">
        <f>F34/83.98*100</f>
        <v>114.01047868540128</v>
      </c>
      <c r="M34" s="204">
        <f>E34-березень!E34</f>
        <v>3</v>
      </c>
      <c r="N34" s="208">
        <f>F34-березень!F34</f>
        <v>1.0989999999999895</v>
      </c>
      <c r="O34" s="207">
        <f>N34-M34</f>
        <v>-1.9010000000000105</v>
      </c>
      <c r="P34" s="205">
        <f aca="true" t="shared" si="8" ref="P34:P57">N34/M34*100</f>
        <v>36.633333333332985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202">
        <f aca="true" t="shared" si="9" ref="G35:G58">F35-E35</f>
        <v>2216.41</v>
      </c>
      <c r="H35" s="204">
        <f t="shared" si="7"/>
        <v>148.85188450517964</v>
      </c>
      <c r="I35" s="205">
        <f aca="true" t="shared" si="10" ref="I35:I58">F35-D35</f>
        <v>-3246.59</v>
      </c>
      <c r="J35" s="205">
        <f>F35/D35*100</f>
        <v>67.5341</v>
      </c>
      <c r="K35" s="205">
        <f>F35-0</f>
        <v>6753.41</v>
      </c>
      <c r="L35" s="205"/>
      <c r="M35" s="204">
        <f>E35-березень!E35</f>
        <v>1000</v>
      </c>
      <c r="N35" s="208">
        <f>F35-березень!F35</f>
        <v>3216.0299999999997</v>
      </c>
      <c r="O35" s="207">
        <f aca="true" t="shared" si="11" ref="O35:O58">N35-M35</f>
        <v>2216.0299999999997</v>
      </c>
      <c r="P35" s="205">
        <f t="shared" si="8"/>
        <v>321.603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27.51</v>
      </c>
      <c r="G36" s="202">
        <f t="shared" si="9"/>
        <v>-43.92999999999999</v>
      </c>
      <c r="H36" s="204">
        <f t="shared" si="7"/>
        <v>38.507838745800676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F36-18.24</f>
        <v>9.270000000000003</v>
      </c>
      <c r="L36" s="205">
        <f>F36/18.24*100</f>
        <v>150.82236842105266</v>
      </c>
      <c r="M36" s="204">
        <f>E36-березень!E36</f>
        <v>20</v>
      </c>
      <c r="N36" s="208">
        <f>F36-березень!F36</f>
        <v>0.5500000000000007</v>
      </c>
      <c r="O36" s="207">
        <f t="shared" si="11"/>
        <v>-19.45</v>
      </c>
      <c r="P36" s="205">
        <f t="shared" si="8"/>
        <v>2.7500000000000036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E37-березень!E37</f>
        <v>0</v>
      </c>
      <c r="N37" s="208">
        <f>F37-березень!F37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34.2</v>
      </c>
      <c r="G38" s="202">
        <f t="shared" si="9"/>
        <v>-5.799999999999997</v>
      </c>
      <c r="H38" s="204">
        <f t="shared" si="7"/>
        <v>85.50000000000001</v>
      </c>
      <c r="I38" s="205">
        <f t="shared" si="10"/>
        <v>-115.8</v>
      </c>
      <c r="J38" s="205">
        <f t="shared" si="12"/>
        <v>22.8</v>
      </c>
      <c r="K38" s="205">
        <f>F38-41.25</f>
        <v>-7.049999999999997</v>
      </c>
      <c r="L38" s="205">
        <f>F38/41.25*100</f>
        <v>82.90909090909092</v>
      </c>
      <c r="M38" s="204">
        <f>E38-березень!E38</f>
        <v>10</v>
      </c>
      <c r="N38" s="208">
        <f>F38-березень!F38</f>
        <v>13.800000000000004</v>
      </c>
      <c r="O38" s="207">
        <f t="shared" si="11"/>
        <v>3.8000000000000043</v>
      </c>
      <c r="P38" s="205">
        <f t="shared" si="8"/>
        <v>138.00000000000003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/>
      <c r="L39" s="205"/>
      <c r="M39" s="204"/>
      <c r="N39" s="208">
        <f>F39-березень!F39</f>
        <v>6.8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24</v>
      </c>
      <c r="F40" s="170">
        <v>0</v>
      </c>
      <c r="G40" s="202">
        <f t="shared" si="9"/>
        <v>-24</v>
      </c>
      <c r="H40" s="204">
        <f t="shared" si="7"/>
        <v>0</v>
      </c>
      <c r="I40" s="205">
        <f t="shared" si="10"/>
        <v>-90</v>
      </c>
      <c r="J40" s="205">
        <f t="shared" si="12"/>
        <v>0</v>
      </c>
      <c r="K40" s="205">
        <f>F40-0</f>
        <v>0</v>
      </c>
      <c r="L40" s="205"/>
      <c r="M40" s="204">
        <f>E40-березень!E39</f>
        <v>8</v>
      </c>
      <c r="N40" s="208">
        <f>F40-березень!F39</f>
        <v>0</v>
      </c>
      <c r="O40" s="207">
        <f t="shared" si="11"/>
        <v>-8</v>
      </c>
      <c r="P40" s="205">
        <f t="shared" si="8"/>
        <v>0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E41-березень!E40</f>
        <v>0</v>
      </c>
      <c r="N41" s="208">
        <f>F41-березень!F40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2939.02</v>
      </c>
      <c r="F42" s="170">
        <v>3201.41</v>
      </c>
      <c r="G42" s="202">
        <f t="shared" si="9"/>
        <v>262.3899999999999</v>
      </c>
      <c r="H42" s="204">
        <f t="shared" si="7"/>
        <v>108.92780586726187</v>
      </c>
      <c r="I42" s="205">
        <f t="shared" si="10"/>
        <v>-6698.59</v>
      </c>
      <c r="J42" s="205">
        <f t="shared" si="12"/>
        <v>32.33747474747475</v>
      </c>
      <c r="K42" s="205">
        <f>F42-3348.03</f>
        <v>-146.62000000000035</v>
      </c>
      <c r="L42" s="205">
        <f>F42/3348.03*100</f>
        <v>95.620708297118</v>
      </c>
      <c r="M42" s="204">
        <f>E42-березень!E41</f>
        <v>800</v>
      </c>
      <c r="N42" s="208">
        <f>F42-березень!F41</f>
        <v>861.8299999999999</v>
      </c>
      <c r="O42" s="207">
        <f t="shared" si="11"/>
        <v>61.82999999999993</v>
      </c>
      <c r="P42" s="205">
        <f t="shared" si="8"/>
        <v>107.72874999999999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390</v>
      </c>
      <c r="F43" s="170">
        <v>1.37</v>
      </c>
      <c r="G43" s="202">
        <f t="shared" si="9"/>
        <v>-388.63</v>
      </c>
      <c r="H43" s="204">
        <f t="shared" si="7"/>
        <v>0.3512820512820513</v>
      </c>
      <c r="I43" s="205">
        <f t="shared" si="10"/>
        <v>-1498.63</v>
      </c>
      <c r="J43" s="205">
        <f t="shared" si="12"/>
        <v>0.09133333333333334</v>
      </c>
      <c r="K43" s="205">
        <f>F43-0</f>
        <v>1.37</v>
      </c>
      <c r="L43" s="205"/>
      <c r="M43" s="204">
        <f>E43-березень!E42</f>
        <v>130</v>
      </c>
      <c r="N43" s="208">
        <f>F43-березень!F42</f>
        <v>0.17000000000000015</v>
      </c>
      <c r="O43" s="207">
        <f t="shared" si="11"/>
        <v>-129.83</v>
      </c>
      <c r="P43" s="205">
        <f t="shared" si="8"/>
        <v>0.1307692307692309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12</v>
      </c>
      <c r="F44" s="170">
        <v>0</v>
      </c>
      <c r="G44" s="202">
        <f t="shared" si="9"/>
        <v>-12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E44-березень!E43</f>
        <v>4</v>
      </c>
      <c r="N44" s="208">
        <f>F44-березень!F43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2666.23</v>
      </c>
      <c r="F45" s="170">
        <v>2631.348</v>
      </c>
      <c r="G45" s="202">
        <f t="shared" si="9"/>
        <v>-34.88200000000006</v>
      </c>
      <c r="H45" s="204">
        <f t="shared" si="7"/>
        <v>98.6917107676382</v>
      </c>
      <c r="I45" s="205">
        <f t="shared" si="10"/>
        <v>-5868.652</v>
      </c>
      <c r="J45" s="205">
        <f t="shared" si="12"/>
        <v>30.957035294117645</v>
      </c>
      <c r="K45" s="205">
        <f>F45-2673.74</f>
        <v>-42.391999999999825</v>
      </c>
      <c r="L45" s="205">
        <f>F45/2673.74*100</f>
        <v>98.41450552409734</v>
      </c>
      <c r="M45" s="204">
        <f>E45-березень!E44</f>
        <v>650</v>
      </c>
      <c r="N45" s="208">
        <f>F45-березень!F44</f>
        <v>629.818</v>
      </c>
      <c r="O45" s="207">
        <f t="shared" si="11"/>
        <v>-20.182000000000016</v>
      </c>
      <c r="P45" s="205">
        <f t="shared" si="8"/>
        <v>96.89507692307691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2014.19</v>
      </c>
      <c r="F46" s="170">
        <v>1998.74</v>
      </c>
      <c r="G46" s="202">
        <f t="shared" si="9"/>
        <v>-15.450000000000045</v>
      </c>
      <c r="H46" s="204">
        <f t="shared" si="7"/>
        <v>99.23294227456199</v>
      </c>
      <c r="I46" s="205">
        <f t="shared" si="10"/>
        <v>-5301.26</v>
      </c>
      <c r="J46" s="205">
        <f t="shared" si="12"/>
        <v>27.38</v>
      </c>
      <c r="K46" s="205">
        <f>F46-2831.1</f>
        <v>-832.3599999999999</v>
      </c>
      <c r="L46" s="205">
        <f>F46/2831.1*100</f>
        <v>70.59941365546962</v>
      </c>
      <c r="M46" s="204">
        <f>E46-березень!E45</f>
        <v>641</v>
      </c>
      <c r="N46" s="208">
        <f>F46-березень!F45</f>
        <v>498.6400000000001</v>
      </c>
      <c r="O46" s="207">
        <f t="shared" si="11"/>
        <v>-142.3599999999999</v>
      </c>
      <c r="P46" s="205">
        <f t="shared" si="8"/>
        <v>77.79095163806554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288.99</v>
      </c>
      <c r="F47" s="171">
        <v>235.42</v>
      </c>
      <c r="G47" s="36">
        <f t="shared" si="9"/>
        <v>-53.57000000000002</v>
      </c>
      <c r="H47" s="32">
        <f t="shared" si="7"/>
        <v>81.46302640229766</v>
      </c>
      <c r="I47" s="110">
        <f t="shared" si="10"/>
        <v>-864.58</v>
      </c>
      <c r="J47" s="110">
        <f t="shared" si="12"/>
        <v>21.40181818181818</v>
      </c>
      <c r="K47" s="110">
        <f>F47-319.39</f>
        <v>-83.97</v>
      </c>
      <c r="L47" s="110">
        <f>F47/319.39*100</f>
        <v>73.70925827358403</v>
      </c>
      <c r="M47" s="111">
        <f>E47-березень!E46</f>
        <v>100</v>
      </c>
      <c r="N47" s="179">
        <f>F47-березень!F46</f>
        <v>71.73999999999998</v>
      </c>
      <c r="O47" s="112">
        <f t="shared" si="11"/>
        <v>-28.26000000000002</v>
      </c>
      <c r="P47" s="132">
        <f t="shared" si="8"/>
        <v>71.73999999999998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3.04</v>
      </c>
      <c r="F48" s="171">
        <v>0.15</v>
      </c>
      <c r="G48" s="36">
        <f t="shared" si="9"/>
        <v>-2.89</v>
      </c>
      <c r="H48" s="32">
        <f t="shared" si="7"/>
        <v>4.934210526315789</v>
      </c>
      <c r="I48" s="110">
        <f t="shared" si="10"/>
        <v>-44.85</v>
      </c>
      <c r="J48" s="110">
        <f t="shared" si="12"/>
        <v>0.3333333333333333</v>
      </c>
      <c r="K48" s="110">
        <f>F48-44.45</f>
        <v>-44.300000000000004</v>
      </c>
      <c r="L48" s="110">
        <f>F48/44.45*100</f>
        <v>0.33745781777277833</v>
      </c>
      <c r="M48" s="111">
        <f>E48-березень!E47</f>
        <v>1</v>
      </c>
      <c r="N48" s="179">
        <f>F48-березень!F47</f>
        <v>0.03</v>
      </c>
      <c r="O48" s="112">
        <f t="shared" si="11"/>
        <v>-0.97</v>
      </c>
      <c r="P48" s="132">
        <f t="shared" si="8"/>
        <v>3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E49-березень!E48</f>
        <v>0</v>
      </c>
      <c r="N49" s="179">
        <f>F49-березень!F48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1722.17</v>
      </c>
      <c r="F50" s="171">
        <v>1763.16</v>
      </c>
      <c r="G50" s="36">
        <f t="shared" si="9"/>
        <v>40.99000000000001</v>
      </c>
      <c r="H50" s="32">
        <f t="shared" si="7"/>
        <v>102.38013668801571</v>
      </c>
      <c r="I50" s="110">
        <f t="shared" si="10"/>
        <v>-4390.84</v>
      </c>
      <c r="J50" s="110">
        <f t="shared" si="12"/>
        <v>28.65063373415665</v>
      </c>
      <c r="K50" s="110">
        <f>F50-2466.52</f>
        <v>-703.3599999999999</v>
      </c>
      <c r="L50" s="110">
        <f>F50/2466.52*100</f>
        <v>71.48370984220684</v>
      </c>
      <c r="M50" s="111">
        <f>E50-березень!E49</f>
        <v>540</v>
      </c>
      <c r="N50" s="179">
        <f>F50-березень!F49</f>
        <v>426.8600000000001</v>
      </c>
      <c r="O50" s="112">
        <f t="shared" si="11"/>
        <v>-113.13999999999987</v>
      </c>
      <c r="P50" s="132">
        <f t="shared" si="8"/>
        <v>79.04814814814817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E51-березень!E50</f>
        <v>-0.0010000000000000009</v>
      </c>
      <c r="N51" s="208">
        <f>F51-березень!F50</f>
        <v>0</v>
      </c>
      <c r="O51" s="207">
        <f t="shared" si="11"/>
        <v>0.0010000000000000009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1477.98</v>
      </c>
      <c r="F52" s="170">
        <v>1974.46</v>
      </c>
      <c r="G52" s="202">
        <f t="shared" si="9"/>
        <v>496.48</v>
      </c>
      <c r="H52" s="204">
        <f t="shared" si="7"/>
        <v>133.59179420560494</v>
      </c>
      <c r="I52" s="205">
        <f t="shared" si="10"/>
        <v>-2825.54</v>
      </c>
      <c r="J52" s="205">
        <f t="shared" si="12"/>
        <v>41.13458333333334</v>
      </c>
      <c r="K52" s="205">
        <f>F52-1435.76</f>
        <v>538.7</v>
      </c>
      <c r="L52" s="205">
        <f>F52/1435.76*100</f>
        <v>137.52019836184323</v>
      </c>
      <c r="M52" s="204">
        <f>E52-березень!E51</f>
        <v>470</v>
      </c>
      <c r="N52" s="208">
        <f>F52-березень!F51</f>
        <v>859.6200000000001</v>
      </c>
      <c r="O52" s="207">
        <f t="shared" si="11"/>
        <v>389.6200000000001</v>
      </c>
      <c r="P52" s="205">
        <f t="shared" si="8"/>
        <v>182.89787234042555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E53-березень!E52</f>
        <v>0</v>
      </c>
      <c r="N53" s="208">
        <f>F53-березень!F52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387.36</v>
      </c>
      <c r="G54" s="202"/>
      <c r="H54" s="204"/>
      <c r="I54" s="205"/>
      <c r="J54" s="205"/>
      <c r="K54" s="206">
        <f>F54-313.7</f>
        <v>73.66000000000003</v>
      </c>
      <c r="L54" s="206">
        <f>F54/313.7*100</f>
        <v>123.48103283391777</v>
      </c>
      <c r="M54" s="204">
        <f>E54-березень!E53</f>
        <v>0</v>
      </c>
      <c r="N54" s="220">
        <f>F54-березень!F53</f>
        <v>156.92000000000002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E55-березень!E54</f>
        <v>0</v>
      </c>
      <c r="N55" s="208">
        <f>F55-березень!F54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E56-березень!E55</f>
        <v>0</v>
      </c>
      <c r="N56" s="208">
        <f>F56-березень!F55</f>
        <v>0</v>
      </c>
      <c r="O56" s="207">
        <f t="shared" si="11"/>
        <v>0</v>
      </c>
      <c r="P56" s="205"/>
      <c r="Q56" s="42"/>
      <c r="R56" s="100"/>
    </row>
    <row r="57" spans="1:18" s="6" customFormat="1" ht="18">
      <c r="A57" s="8"/>
      <c r="B57" s="12" t="s">
        <v>45</v>
      </c>
      <c r="C57" s="48">
        <v>31010200</v>
      </c>
      <c r="D57" s="33">
        <v>30</v>
      </c>
      <c r="E57" s="33">
        <v>7.6</v>
      </c>
      <c r="F57" s="170">
        <v>13.51</v>
      </c>
      <c r="G57" s="202">
        <f t="shared" si="9"/>
        <v>5.91</v>
      </c>
      <c r="H57" s="204">
        <f t="shared" si="7"/>
        <v>177.76315789473685</v>
      </c>
      <c r="I57" s="205">
        <f t="shared" si="10"/>
        <v>-16.490000000000002</v>
      </c>
      <c r="J57" s="205">
        <f t="shared" si="12"/>
        <v>45.03333333333333</v>
      </c>
      <c r="K57" s="205">
        <f>F57-6.52</f>
        <v>6.99</v>
      </c>
      <c r="L57" s="205">
        <f>F57/6.52*100</f>
        <v>207.20858895705524</v>
      </c>
      <c r="M57" s="204">
        <f>E57-березень!E56</f>
        <v>2.3</v>
      </c>
      <c r="N57" s="208">
        <f>F57-березень!F56</f>
        <v>7.71</v>
      </c>
      <c r="O57" s="207">
        <f t="shared" si="11"/>
        <v>5.41</v>
      </c>
      <c r="P57" s="205">
        <f t="shared" si="8"/>
        <v>335.21739130434787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0.36</v>
      </c>
      <c r="G58" s="202">
        <f t="shared" si="9"/>
        <v>0.36</v>
      </c>
      <c r="H58" s="204"/>
      <c r="I58" s="205">
        <f t="shared" si="10"/>
        <v>-0.24</v>
      </c>
      <c r="J58" s="205"/>
      <c r="K58" s="205">
        <f>F58-0.02</f>
        <v>0.33999999999999997</v>
      </c>
      <c r="L58" s="205"/>
      <c r="M58" s="204">
        <f>E58-березень!E57</f>
        <v>0</v>
      </c>
      <c r="N58" s="208">
        <f>F58-березень!F57</f>
        <v>0.36</v>
      </c>
      <c r="O58" s="207">
        <f t="shared" si="11"/>
        <v>0.36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285928.30999999994</v>
      </c>
      <c r="F59" s="191">
        <f>F8+F33+F57+F58</f>
        <v>310905.144</v>
      </c>
      <c r="G59" s="191">
        <f>F59-E59</f>
        <v>24976.83400000003</v>
      </c>
      <c r="H59" s="192">
        <f>F59/E59*100</f>
        <v>108.7353483815576</v>
      </c>
      <c r="I59" s="193">
        <f>F59-D59</f>
        <v>-572995.456</v>
      </c>
      <c r="J59" s="193">
        <f>F59/D59*100</f>
        <v>35.17422026865917</v>
      </c>
      <c r="K59" s="193">
        <f>F59-208977.28</f>
        <v>101927.86399999997</v>
      </c>
      <c r="L59" s="193">
        <f>F59/208977.28*100</f>
        <v>148.7746151160547</v>
      </c>
      <c r="M59" s="191">
        <f>M8+M33+M57+M58</f>
        <v>75098.79899999998</v>
      </c>
      <c r="N59" s="191">
        <f>N8+N33+N57+N58</f>
        <v>90439.34699999998</v>
      </c>
      <c r="O59" s="195">
        <f>N59-M59</f>
        <v>15340.547999999995</v>
      </c>
      <c r="P59" s="193">
        <f>N59/M59*100</f>
        <v>120.42715490030673</v>
      </c>
      <c r="Q59" s="28">
        <f>N59-34768</f>
        <v>55671.34699999998</v>
      </c>
      <c r="R59" s="128">
        <f>N59/34768</f>
        <v>2.601223740220892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4.5</v>
      </c>
      <c r="G64" s="202"/>
      <c r="H64" s="204"/>
      <c r="I64" s="207"/>
      <c r="J64" s="207"/>
      <c r="K64" s="207">
        <f>F64-8.75</f>
        <v>-4.25</v>
      </c>
      <c r="L64" s="207"/>
      <c r="M64" s="202"/>
      <c r="N64" s="223">
        <f>F64-березень!F63</f>
        <v>4.5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F65-(-14.65)</f>
        <v>14.38</v>
      </c>
      <c r="L65" s="207">
        <f>F65/(-14.65)*100</f>
        <v>1.8430034129692834</v>
      </c>
      <c r="M65" s="204"/>
      <c r="N65" s="223">
        <f>F65-березень!F64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4.23</v>
      </c>
      <c r="G66" s="226">
        <f>F66-E66</f>
        <v>4.23</v>
      </c>
      <c r="H66" s="227"/>
      <c r="I66" s="228">
        <f>F66-D66</f>
        <v>4.23</v>
      </c>
      <c r="J66" s="228"/>
      <c r="K66" s="228">
        <f>F66-(-5.9)</f>
        <v>10.13</v>
      </c>
      <c r="L66" s="228">
        <f>F66/(-5.9)*100</f>
        <v>-71.69491525423729</v>
      </c>
      <c r="M66" s="226">
        <f>M65</f>
        <v>0</v>
      </c>
      <c r="N66" s="229">
        <f>SUM(N64:N65)</f>
        <v>4.5</v>
      </c>
      <c r="O66" s="228">
        <f>N66-M66</f>
        <v>4.5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366.6</v>
      </c>
      <c r="F68" s="222">
        <v>300.88</v>
      </c>
      <c r="G68" s="202">
        <f aca="true" t="shared" si="13" ref="G68:G78">F68-E68</f>
        <v>-65.72000000000003</v>
      </c>
      <c r="H68" s="204"/>
      <c r="I68" s="207">
        <f aca="true" t="shared" si="14" ref="I68:I78">F68-D68</f>
        <v>-3899.12</v>
      </c>
      <c r="J68" s="207">
        <f>F68/D68*100</f>
        <v>7.163809523809523</v>
      </c>
      <c r="K68" s="207">
        <f>F68-91.72</f>
        <v>209.16</v>
      </c>
      <c r="L68" s="207">
        <f>F68/91.72*100</f>
        <v>328.0418665503707</v>
      </c>
      <c r="M68" s="204">
        <f>E68-березень!E67</f>
        <v>294.6</v>
      </c>
      <c r="N68" s="208">
        <f>F68-березень!F67</f>
        <v>300.73</v>
      </c>
      <c r="O68" s="207">
        <f aca="true" t="shared" si="15" ref="O68:O81">N68-M68</f>
        <v>6.1299999999999955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1634.01</v>
      </c>
      <c r="F69" s="222">
        <v>472.26</v>
      </c>
      <c r="G69" s="202">
        <f t="shared" si="13"/>
        <v>-1161.75</v>
      </c>
      <c r="H69" s="204">
        <f>F69/E69*100</f>
        <v>28.90190390511686</v>
      </c>
      <c r="I69" s="207">
        <f t="shared" si="14"/>
        <v>-6986.74</v>
      </c>
      <c r="J69" s="207">
        <f>F69/D69*100</f>
        <v>6.33141171738839</v>
      </c>
      <c r="K69" s="207">
        <f>F69-1938.06</f>
        <v>-1465.8</v>
      </c>
      <c r="L69" s="207">
        <f>F69/1938.06*100</f>
        <v>24.367666635707874</v>
      </c>
      <c r="M69" s="204">
        <f>E69-березень!E68</f>
        <v>242.5999999999999</v>
      </c>
      <c r="N69" s="208">
        <f>F69-березень!F68</f>
        <v>153.62</v>
      </c>
      <c r="O69" s="207">
        <f t="shared" si="15"/>
        <v>-88.9799999999999</v>
      </c>
      <c r="P69" s="207">
        <f>N69/M69*100</f>
        <v>63.32234130255567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1188.85</v>
      </c>
      <c r="F70" s="222">
        <v>8810.08</v>
      </c>
      <c r="G70" s="202">
        <f t="shared" si="13"/>
        <v>7621.23</v>
      </c>
      <c r="H70" s="204">
        <f>F70/E70*100</f>
        <v>741.0590066030197</v>
      </c>
      <c r="I70" s="207">
        <f t="shared" si="14"/>
        <v>2810.08</v>
      </c>
      <c r="J70" s="207">
        <f>F70/D70*100</f>
        <v>146.83466666666666</v>
      </c>
      <c r="K70" s="207">
        <f>F70-34.14</f>
        <v>8775.94</v>
      </c>
      <c r="L70" s="207">
        <f>F70/34.14*100</f>
        <v>25805.74106619801</v>
      </c>
      <c r="M70" s="204">
        <f>E70-березень!E69</f>
        <v>301.9999999999999</v>
      </c>
      <c r="N70" s="208">
        <f>F70-березень!F69</f>
        <v>852.9899999999998</v>
      </c>
      <c r="O70" s="207">
        <f t="shared" si="15"/>
        <v>550.9899999999999</v>
      </c>
      <c r="P70" s="207">
        <f>N70/M70*100</f>
        <v>282.4470198675497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4</v>
      </c>
      <c r="F71" s="222">
        <v>4</v>
      </c>
      <c r="G71" s="202">
        <f t="shared" si="13"/>
        <v>0</v>
      </c>
      <c r="H71" s="204">
        <f>F71/E71*100</f>
        <v>100</v>
      </c>
      <c r="I71" s="207">
        <f t="shared" si="14"/>
        <v>-8</v>
      </c>
      <c r="J71" s="207">
        <f>F71/D71*100</f>
        <v>33.33333333333333</v>
      </c>
      <c r="K71" s="207">
        <f>F71-0</f>
        <v>4</v>
      </c>
      <c r="L71" s="207"/>
      <c r="M71" s="204">
        <f>E71-березень!E70</f>
        <v>1</v>
      </c>
      <c r="N71" s="208">
        <f>F71-березень!F70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3193.46</v>
      </c>
      <c r="F72" s="225">
        <f>F68+F69+F70+F71</f>
        <v>9587.22</v>
      </c>
      <c r="G72" s="226">
        <f t="shared" si="13"/>
        <v>6393.759999999999</v>
      </c>
      <c r="H72" s="227">
        <f>F72/E72*100</f>
        <v>300.2141877462063</v>
      </c>
      <c r="I72" s="228">
        <f t="shared" si="14"/>
        <v>-8083.780000000001</v>
      </c>
      <c r="J72" s="228">
        <f>F72/D72*100</f>
        <v>54.25397543998641</v>
      </c>
      <c r="K72" s="228">
        <f>F72-1938.06</f>
        <v>7649.16</v>
      </c>
      <c r="L72" s="228">
        <f>F72/1938.06*100</f>
        <v>494.6812792173617</v>
      </c>
      <c r="M72" s="226">
        <f>M68+M69+M70+M71</f>
        <v>840.1999999999998</v>
      </c>
      <c r="N72" s="230">
        <f>N68+N69+N70+N71</f>
        <v>1308.3399999999997</v>
      </c>
      <c r="O72" s="228">
        <f t="shared" si="15"/>
        <v>468.1399999999999</v>
      </c>
      <c r="P72" s="228">
        <f>N72/M72*100</f>
        <v>155.71768626517496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E73-березень!E72</f>
        <v>0</v>
      </c>
      <c r="N73" s="208">
        <f>F73-березень!F72</f>
        <v>2.62</v>
      </c>
      <c r="O73" s="207">
        <f t="shared" si="15"/>
        <v>2.62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2020.7</v>
      </c>
      <c r="F75" s="222">
        <v>2035.53</v>
      </c>
      <c r="G75" s="202">
        <f t="shared" si="13"/>
        <v>14.829999999999927</v>
      </c>
      <c r="H75" s="204">
        <f>F75/E75*100</f>
        <v>100.73390409264115</v>
      </c>
      <c r="I75" s="207">
        <f t="shared" si="14"/>
        <v>-7464.47</v>
      </c>
      <c r="J75" s="207">
        <f>F75/D75*100</f>
        <v>21.42663157894737</v>
      </c>
      <c r="K75" s="207">
        <f>F75-0</f>
        <v>2035.53</v>
      </c>
      <c r="L75" s="207"/>
      <c r="M75" s="204">
        <f>E75-березень!E74</f>
        <v>15</v>
      </c>
      <c r="N75" s="208">
        <f>F75-березень!F74</f>
        <v>16.529999999999973</v>
      </c>
      <c r="O75" s="207">
        <f>N75-M75</f>
        <v>1.5299999999999727</v>
      </c>
      <c r="P75" s="231">
        <f>N75/M75*100</f>
        <v>110.1999999999998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F76-0.7</f>
        <v>-0.17999999999999994</v>
      </c>
      <c r="L76" s="207">
        <f>F76/0.7*100</f>
        <v>74.28571428571429</v>
      </c>
      <c r="M76" s="204">
        <f>E76-березень!E75</f>
        <v>0</v>
      </c>
      <c r="N76" s="208">
        <f>F76-березень!F75</f>
        <v>0.12</v>
      </c>
      <c r="O76" s="207">
        <f t="shared" si="15"/>
        <v>0.12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2020.7</v>
      </c>
      <c r="F77" s="225">
        <f>F73+F76+F74+F75</f>
        <v>2039.11</v>
      </c>
      <c r="G77" s="224">
        <f>G73+G76+G74+G75</f>
        <v>18.409999999999926</v>
      </c>
      <c r="H77" s="227">
        <f>F77/E77*100</f>
        <v>100.91107042114118</v>
      </c>
      <c r="I77" s="228">
        <f t="shared" si="14"/>
        <v>-7461.89</v>
      </c>
      <c r="J77" s="228">
        <f>F77/D77*100</f>
        <v>21.462056625618356</v>
      </c>
      <c r="K77" s="228">
        <f>F77-0.7</f>
        <v>2038.4099999999999</v>
      </c>
      <c r="L77" s="228">
        <f>F77/0.7*100</f>
        <v>291301.4285714286</v>
      </c>
      <c r="M77" s="226">
        <f>M73+M76+M74+M75</f>
        <v>15</v>
      </c>
      <c r="N77" s="230">
        <f>N73+N76+N74+N75</f>
        <v>19.269999999999975</v>
      </c>
      <c r="O77" s="226">
        <f>O73+O76+O74+O75</f>
        <v>4.269999999999973</v>
      </c>
      <c r="P77" s="228">
        <f>N77/M77*100</f>
        <v>128.4666666666665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13.14</v>
      </c>
      <c r="F78" s="222">
        <v>9.19</v>
      </c>
      <c r="G78" s="202">
        <f t="shared" si="13"/>
        <v>-3.950000000000001</v>
      </c>
      <c r="H78" s="204">
        <f>F78/E78*100</f>
        <v>69.93911719939116</v>
      </c>
      <c r="I78" s="207">
        <f t="shared" si="14"/>
        <v>-33.81</v>
      </c>
      <c r="J78" s="207">
        <f>F78/D78*100</f>
        <v>21.37209302325581</v>
      </c>
      <c r="K78" s="207">
        <f>F78-13.38</f>
        <v>-4.190000000000001</v>
      </c>
      <c r="L78" s="207">
        <f>F78/13.38*100</f>
        <v>68.6846038863976</v>
      </c>
      <c r="M78" s="204">
        <f>E78-березень!E77</f>
        <v>0.4299999999999997</v>
      </c>
      <c r="N78" s="208">
        <f>F78-березень!F77</f>
        <v>0</v>
      </c>
      <c r="O78" s="207">
        <f t="shared" si="15"/>
        <v>-0.4299999999999997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5227.3</v>
      </c>
      <c r="F80" s="232">
        <f>F66+F78+F72+F77+F79</f>
        <v>11639.75</v>
      </c>
      <c r="G80" s="233">
        <f>F80-E80</f>
        <v>6412.45</v>
      </c>
      <c r="H80" s="234">
        <f>F80/E80*100</f>
        <v>222.67231649226176</v>
      </c>
      <c r="I80" s="235">
        <f>F80-D80</f>
        <v>-15575.25</v>
      </c>
      <c r="J80" s="235">
        <f>F80/D80*100</f>
        <v>42.76961234613265</v>
      </c>
      <c r="K80" s="235">
        <f>F80-2072.3</f>
        <v>9567.45</v>
      </c>
      <c r="L80" s="235">
        <f>F80/2072.3*100</f>
        <v>561.6826714278819</v>
      </c>
      <c r="M80" s="232">
        <f>M66+M78+M72+M77</f>
        <v>855.6299999999998</v>
      </c>
      <c r="N80" s="232">
        <f>N66+N78+N72+N77+N79</f>
        <v>1332.1099999999997</v>
      </c>
      <c r="O80" s="235">
        <f t="shared" si="15"/>
        <v>476.4799999999999</v>
      </c>
      <c r="P80" s="235">
        <f>N80/M80*100</f>
        <v>155.68762198613888</v>
      </c>
      <c r="Q80" s="28">
        <f>N80-8104.96</f>
        <v>-6772.85</v>
      </c>
      <c r="R80" s="101">
        <f>N80/8104.96</f>
        <v>0.16435738115919138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291155.6099999999</v>
      </c>
      <c r="F81" s="232">
        <f>F59+F80</f>
        <v>322544.894</v>
      </c>
      <c r="G81" s="233">
        <f>F81-E81</f>
        <v>31389.284000000043</v>
      </c>
      <c r="H81" s="234">
        <f>F81/E81*100</f>
        <v>110.78093051341173</v>
      </c>
      <c r="I81" s="235">
        <f>F81-D81</f>
        <v>-588570.706</v>
      </c>
      <c r="J81" s="235">
        <f>F81/D81*100</f>
        <v>35.40109443851033</v>
      </c>
      <c r="K81" s="235">
        <f>F81-211049.59</f>
        <v>111495.30399999997</v>
      </c>
      <c r="L81" s="235">
        <f>F81/211049.59*100</f>
        <v>152.82896024578866</v>
      </c>
      <c r="M81" s="233">
        <f>M59+M80</f>
        <v>75954.42899999999</v>
      </c>
      <c r="N81" s="233">
        <f>N59+N80</f>
        <v>91771.45699999998</v>
      </c>
      <c r="O81" s="235">
        <f t="shared" si="15"/>
        <v>15817.027999999991</v>
      </c>
      <c r="P81" s="235">
        <f>N81/M81*100</f>
        <v>120.82436562060126</v>
      </c>
      <c r="Q81" s="28">
        <f>N81-42872.96</f>
        <v>48898.49699999998</v>
      </c>
      <c r="R81" s="101">
        <f>N81/42872.96</f>
        <v>2.1405439932302315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0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0</v>
      </c>
      <c r="D84" s="4" t="s">
        <v>24</v>
      </c>
      <c r="G84" s="439"/>
      <c r="H84" s="439"/>
      <c r="I84" s="439"/>
      <c r="J84" s="439"/>
      <c r="K84" s="90"/>
      <c r="L84" s="90"/>
      <c r="P84" s="26"/>
      <c r="Q84" s="26"/>
    </row>
    <row r="85" spans="2:15" ht="34.5" customHeight="1">
      <c r="B85" s="58" t="s">
        <v>56</v>
      </c>
      <c r="C85" s="87">
        <v>42489</v>
      </c>
      <c r="D85" s="31">
        <v>11184.7</v>
      </c>
      <c r="G85" s="4" t="s">
        <v>59</v>
      </c>
      <c r="N85" s="440"/>
      <c r="O85" s="440"/>
    </row>
    <row r="86" spans="3:15" ht="15">
      <c r="C86" s="87">
        <v>42488</v>
      </c>
      <c r="D86" s="31">
        <v>11419.7</v>
      </c>
      <c r="F86" s="124" t="s">
        <v>59</v>
      </c>
      <c r="G86" s="441"/>
      <c r="H86" s="441"/>
      <c r="I86" s="131"/>
      <c r="J86" s="442"/>
      <c r="K86" s="442"/>
      <c r="L86" s="442"/>
      <c r="M86" s="442"/>
      <c r="N86" s="440"/>
      <c r="O86" s="440"/>
    </row>
    <row r="87" spans="3:15" ht="15.75" customHeight="1">
      <c r="C87" s="87">
        <v>42487</v>
      </c>
      <c r="D87" s="31">
        <v>7800.7</v>
      </c>
      <c r="F87" s="73"/>
      <c r="G87" s="441"/>
      <c r="H87" s="441"/>
      <c r="I87" s="131"/>
      <c r="J87" s="443"/>
      <c r="K87" s="443"/>
      <c r="L87" s="443"/>
      <c r="M87" s="443"/>
      <c r="N87" s="440"/>
      <c r="O87" s="440"/>
    </row>
    <row r="88" spans="3:13" ht="15.75" customHeight="1">
      <c r="C88" s="87"/>
      <c r="F88" s="73"/>
      <c r="G88" s="447"/>
      <c r="H88" s="447"/>
      <c r="I88" s="139"/>
      <c r="J88" s="442"/>
      <c r="K88" s="442"/>
      <c r="L88" s="442"/>
      <c r="M88" s="442"/>
    </row>
    <row r="89" spans="2:13" ht="18.75" customHeight="1">
      <c r="B89" s="448" t="s">
        <v>57</v>
      </c>
      <c r="C89" s="449"/>
      <c r="D89" s="148">
        <v>9087.9705</v>
      </c>
      <c r="E89" s="74"/>
      <c r="F89" s="140" t="s">
        <v>137</v>
      </c>
      <c r="G89" s="441"/>
      <c r="H89" s="441"/>
      <c r="I89" s="141"/>
      <c r="J89" s="442"/>
      <c r="K89" s="442"/>
      <c r="L89" s="442"/>
      <c r="M89" s="442"/>
    </row>
    <row r="90" spans="6:12" ht="9.75" customHeight="1">
      <c r="F90" s="73"/>
      <c r="G90" s="441"/>
      <c r="H90" s="441"/>
      <c r="I90" s="73"/>
      <c r="J90" s="74"/>
      <c r="K90" s="74"/>
      <c r="L90" s="74"/>
    </row>
    <row r="91" spans="2:12" ht="22.5" customHeight="1" hidden="1">
      <c r="B91" s="444" t="s">
        <v>60</v>
      </c>
      <c r="C91" s="445"/>
      <c r="D91" s="86">
        <v>0</v>
      </c>
      <c r="E91" s="56" t="s">
        <v>24</v>
      </c>
      <c r="F91" s="73"/>
      <c r="G91" s="441"/>
      <c r="H91" s="441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441"/>
      <c r="O92" s="441"/>
    </row>
    <row r="93" spans="4:15" ht="15">
      <c r="D93" s="83"/>
      <c r="I93" s="31"/>
      <c r="N93" s="446"/>
      <c r="O93" s="446"/>
    </row>
    <row r="94" spans="14:15" ht="15">
      <c r="N94" s="441"/>
      <c r="O94" s="441"/>
    </row>
    <row r="98" ht="15">
      <c r="E98" s="4" t="s">
        <v>59</v>
      </c>
    </row>
  </sheetData>
  <sheetProtection/>
  <mergeCells count="39"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  <mergeCell ref="G90:H90"/>
    <mergeCell ref="G86:H86"/>
    <mergeCell ref="J86:M86"/>
    <mergeCell ref="N86:O86"/>
    <mergeCell ref="G87:H87"/>
    <mergeCell ref="J87:M87"/>
    <mergeCell ref="N87:O87"/>
    <mergeCell ref="O4:O5"/>
    <mergeCell ref="P4:P5"/>
    <mergeCell ref="K5:L5"/>
    <mergeCell ref="Q5:R5"/>
    <mergeCell ref="G84:J84"/>
    <mergeCell ref="N85:O85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3" horizontalDpi="600" verticalDpi="600" orientation="portrait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4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3" sqref="F5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95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13" t="s">
        <v>148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92"/>
      <c r="R1" s="93"/>
    </row>
    <row r="2" spans="2:18" s="1" customFormat="1" ht="15.75" customHeight="1">
      <c r="B2" s="453"/>
      <c r="C2" s="453"/>
      <c r="D2" s="453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5"/>
      <c r="B3" s="417"/>
      <c r="C3" s="418" t="s">
        <v>0</v>
      </c>
      <c r="D3" s="419" t="s">
        <v>121</v>
      </c>
      <c r="E3" s="34"/>
      <c r="F3" s="420" t="s">
        <v>26</v>
      </c>
      <c r="G3" s="421"/>
      <c r="H3" s="421"/>
      <c r="I3" s="421"/>
      <c r="J3" s="422"/>
      <c r="K3" s="89"/>
      <c r="L3" s="89"/>
      <c r="M3" s="423" t="s">
        <v>147</v>
      </c>
      <c r="N3" s="426" t="s">
        <v>143</v>
      </c>
      <c r="O3" s="426"/>
      <c r="P3" s="426"/>
      <c r="Q3" s="426"/>
      <c r="R3" s="426"/>
    </row>
    <row r="4" spans="1:18" ht="22.5" customHeight="1">
      <c r="A4" s="415"/>
      <c r="B4" s="417"/>
      <c r="C4" s="418"/>
      <c r="D4" s="419"/>
      <c r="E4" s="427" t="s">
        <v>146</v>
      </c>
      <c r="F4" s="454" t="s">
        <v>34</v>
      </c>
      <c r="G4" s="431" t="s">
        <v>141</v>
      </c>
      <c r="H4" s="424" t="s">
        <v>142</v>
      </c>
      <c r="I4" s="431" t="s">
        <v>122</v>
      </c>
      <c r="J4" s="424" t="s">
        <v>123</v>
      </c>
      <c r="K4" s="91" t="s">
        <v>65</v>
      </c>
      <c r="L4" s="96" t="s">
        <v>64</v>
      </c>
      <c r="M4" s="424"/>
      <c r="N4" s="433" t="s">
        <v>149</v>
      </c>
      <c r="O4" s="431" t="s">
        <v>50</v>
      </c>
      <c r="P4" s="435" t="s">
        <v>49</v>
      </c>
      <c r="Q4" s="97" t="s">
        <v>65</v>
      </c>
      <c r="R4" s="98" t="s">
        <v>64</v>
      </c>
    </row>
    <row r="5" spans="1:18" ht="78.75" customHeight="1">
      <c r="A5" s="416"/>
      <c r="B5" s="417"/>
      <c r="C5" s="418"/>
      <c r="D5" s="419"/>
      <c r="E5" s="428"/>
      <c r="F5" s="455"/>
      <c r="G5" s="432"/>
      <c r="H5" s="425"/>
      <c r="I5" s="432"/>
      <c r="J5" s="425"/>
      <c r="K5" s="436" t="s">
        <v>144</v>
      </c>
      <c r="L5" s="438"/>
      <c r="M5" s="425"/>
      <c r="N5" s="434"/>
      <c r="O5" s="432"/>
      <c r="P5" s="435"/>
      <c r="Q5" s="436" t="s">
        <v>120</v>
      </c>
      <c r="R5" s="43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10672.266999999998</v>
      </c>
      <c r="G33" s="15">
        <f>G34+G35+G36+G37+G38+G39+G41+G42+G43+G44+G45+G50+G51+G55</f>
        <v>162.25599999999977</v>
      </c>
      <c r="H33" s="38">
        <f>F33/E33*100</f>
        <v>101.54363008063436</v>
      </c>
      <c r="I33" s="28">
        <f>F33-D33</f>
        <v>-32147.733</v>
      </c>
      <c r="J33" s="28">
        <f>F33/D33*100</f>
        <v>24.92355674918262</v>
      </c>
      <c r="K33" s="15">
        <f>F33-7649.28</f>
        <v>3022.9869999999983</v>
      </c>
      <c r="L33" s="15">
        <f>F33/7649.28*100</f>
        <v>139.5198894536479</v>
      </c>
      <c r="M33" s="15">
        <f>M34+M35+M36+M37+M38+M39+M41+M42+M43+M44+M45+M50+M51+M55</f>
        <v>5575.005</v>
      </c>
      <c r="N33" s="15">
        <f>N34+N35+N36+N37+N38+N39+N41+N42+N43+N44+N45+N50+N51+N55</f>
        <v>5755.827</v>
      </c>
      <c r="O33" s="15">
        <f>O34+O35+O36+O37+O38+O39+O41+O42+O43+O44+O45+O50+O51+O55</f>
        <v>180.82200000000014</v>
      </c>
      <c r="P33" s="15">
        <f>N33/M33*100</f>
        <v>103.2434410372726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94.647</v>
      </c>
      <c r="G34" s="36">
        <f>F34-E34</f>
        <v>43.647000000000006</v>
      </c>
      <c r="H34" s="32">
        <f aca="true" t="shared" si="7" ref="H34:H56">F34/E34*100</f>
        <v>185.58235294117648</v>
      </c>
      <c r="I34" s="42">
        <f>F34-D34</f>
        <v>-5.352999999999994</v>
      </c>
      <c r="J34" s="42">
        <f>F34/D34*100</f>
        <v>94.647</v>
      </c>
      <c r="K34" s="42">
        <f>F34-(-3.69)</f>
        <v>98.337</v>
      </c>
      <c r="L34" s="42">
        <f>F34/(-3.69)*100</f>
        <v>-2564.959349593496</v>
      </c>
      <c r="M34" s="32">
        <f>E34-лютий!E34</f>
        <v>1</v>
      </c>
      <c r="N34" s="178">
        <f>F34-лютий!F34</f>
        <v>16.59700000000001</v>
      </c>
      <c r="O34" s="40">
        <f>N34-M34</f>
        <v>15.597000000000008</v>
      </c>
      <c r="P34" s="42">
        <f aca="true" t="shared" si="8" ref="P34:P56">N34/M34*100</f>
        <v>1659.7000000000007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220465.777</v>
      </c>
      <c r="G58" s="37">
        <f>F58-E58</f>
        <v>9636.266000000003</v>
      </c>
      <c r="H58" s="38">
        <f>F58/E58*100</f>
        <v>104.570643812763</v>
      </c>
      <c r="I58" s="28">
        <f>F58-D58</f>
        <v>-663434.823</v>
      </c>
      <c r="J58" s="28">
        <f>F58/D58*100</f>
        <v>24.942372140034752</v>
      </c>
      <c r="K58" s="28">
        <f>F58-147138.18</f>
        <v>73327.59700000001</v>
      </c>
      <c r="L58" s="28">
        <f>F58/147138.18*100</f>
        <v>149.83587332669197</v>
      </c>
      <c r="M58" s="15">
        <f>M8+M33+M56+M57</f>
        <v>83178.71500000001</v>
      </c>
      <c r="N58" s="15">
        <f>N8+N33+N56+N57</f>
        <v>75122.51200000002</v>
      </c>
      <c r="O58" s="41">
        <f>N58-M58</f>
        <v>-8056.202999999994</v>
      </c>
      <c r="P58" s="28">
        <f>N58/M58*100</f>
        <v>90.31458588895008</v>
      </c>
      <c r="Q58" s="28">
        <f>N58-34768</f>
        <v>40354.51200000002</v>
      </c>
      <c r="R58" s="128">
        <f>N58/34768</f>
        <v>2.1606797054763005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230773.41700000002</v>
      </c>
      <c r="G80" s="37">
        <f>F80-E80</f>
        <v>15572.236000000004</v>
      </c>
      <c r="H80" s="38">
        <f>F80/E80*100</f>
        <v>107.2361294336949</v>
      </c>
      <c r="I80" s="28">
        <f>F80-D80</f>
        <v>-680342.183</v>
      </c>
      <c r="J80" s="28">
        <f>F80/D80*100</f>
        <v>25.32866488072425</v>
      </c>
      <c r="K80" s="28">
        <f>K58+K79</f>
        <v>82182.047</v>
      </c>
      <c r="L80" s="28">
        <f>F80/139550.7*100</f>
        <v>165.3688709551439</v>
      </c>
      <c r="M80" s="15">
        <f>M58+M79</f>
        <v>83825.51500000001</v>
      </c>
      <c r="N80" s="15">
        <f>N58+N79</f>
        <v>82390.29200000002</v>
      </c>
      <c r="O80" s="28">
        <f t="shared" si="15"/>
        <v>-1435.2229999999981</v>
      </c>
      <c r="P80" s="28">
        <f>N80/M80*100</f>
        <v>98.28784469740508</v>
      </c>
      <c r="Q80" s="28">
        <f>N80-42872.96</f>
        <v>39517.33200000002</v>
      </c>
      <c r="R80" s="101">
        <f>N80/42872.96</f>
        <v>1.9217308998492293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439"/>
      <c r="H83" s="439"/>
      <c r="I83" s="439"/>
      <c r="J83" s="439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440"/>
      <c r="O84" s="440"/>
    </row>
    <row r="85" spans="3:15" ht="15">
      <c r="C85" s="87">
        <v>42459</v>
      </c>
      <c r="D85" s="31">
        <v>7576.3</v>
      </c>
      <c r="F85" s="124" t="s">
        <v>59</v>
      </c>
      <c r="G85" s="441"/>
      <c r="H85" s="441"/>
      <c r="I85" s="131"/>
      <c r="J85" s="442"/>
      <c r="K85" s="442"/>
      <c r="L85" s="442"/>
      <c r="M85" s="442"/>
      <c r="N85" s="440"/>
      <c r="O85" s="440"/>
    </row>
    <row r="86" spans="3:15" ht="15.75" customHeight="1">
      <c r="C86" s="87">
        <v>42458</v>
      </c>
      <c r="D86" s="31">
        <v>9190.1</v>
      </c>
      <c r="F86" s="73"/>
      <c r="G86" s="441"/>
      <c r="H86" s="441"/>
      <c r="I86" s="131"/>
      <c r="J86" s="443"/>
      <c r="K86" s="443"/>
      <c r="L86" s="443"/>
      <c r="M86" s="443"/>
      <c r="N86" s="440"/>
      <c r="O86" s="440"/>
    </row>
    <row r="87" spans="3:13" ht="15.75" customHeight="1">
      <c r="C87" s="87"/>
      <c r="F87" s="73"/>
      <c r="G87" s="447"/>
      <c r="H87" s="447"/>
      <c r="I87" s="139"/>
      <c r="J87" s="442"/>
      <c r="K87" s="442"/>
      <c r="L87" s="442"/>
      <c r="M87" s="442"/>
    </row>
    <row r="88" spans="2:13" ht="18.75" customHeight="1">
      <c r="B88" s="448" t="s">
        <v>57</v>
      </c>
      <c r="C88" s="449"/>
      <c r="D88" s="148">
        <f>4343.7</f>
        <v>4343.7</v>
      </c>
      <c r="E88" s="74"/>
      <c r="F88" s="140" t="s">
        <v>137</v>
      </c>
      <c r="G88" s="441"/>
      <c r="H88" s="441"/>
      <c r="I88" s="141"/>
      <c r="J88" s="442"/>
      <c r="K88" s="442"/>
      <c r="L88" s="442"/>
      <c r="M88" s="442"/>
    </row>
    <row r="89" spans="6:12" ht="9.75" customHeight="1">
      <c r="F89" s="73"/>
      <c r="G89" s="441"/>
      <c r="H89" s="441"/>
      <c r="I89" s="73"/>
      <c r="J89" s="74"/>
      <c r="K89" s="74"/>
      <c r="L89" s="74"/>
    </row>
    <row r="90" spans="2:12" ht="22.5" customHeight="1" hidden="1">
      <c r="B90" s="444" t="s">
        <v>60</v>
      </c>
      <c r="C90" s="445"/>
      <c r="D90" s="86">
        <v>0</v>
      </c>
      <c r="E90" s="56" t="s">
        <v>24</v>
      </c>
      <c r="F90" s="73"/>
      <c r="G90" s="441"/>
      <c r="H90" s="441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41"/>
      <c r="O91" s="441"/>
    </row>
    <row r="92" spans="4:15" ht="15">
      <c r="D92" s="83"/>
      <c r="I92" s="31"/>
      <c r="N92" s="446"/>
      <c r="O92" s="446"/>
    </row>
    <row r="93" spans="14:15" ht="15">
      <c r="N93" s="441"/>
      <c r="O93" s="441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" right="0" top="0" bottom="0" header="0" footer="0"/>
  <pageSetup fitToHeight="2" fitToWidth="1" horizontalDpi="600" verticalDpi="600" orientation="portrait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32" sqref="E3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13" t="s">
        <v>139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92"/>
      <c r="R1" s="93"/>
    </row>
    <row r="2" spans="2:18" s="1" customFormat="1" ht="15.75" customHeight="1">
      <c r="B2" s="453"/>
      <c r="C2" s="453"/>
      <c r="D2" s="453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5"/>
      <c r="B3" s="417"/>
      <c r="C3" s="418" t="s">
        <v>0</v>
      </c>
      <c r="D3" s="419" t="s">
        <v>121</v>
      </c>
      <c r="E3" s="34"/>
      <c r="F3" s="420" t="s">
        <v>26</v>
      </c>
      <c r="G3" s="421"/>
      <c r="H3" s="421"/>
      <c r="I3" s="421"/>
      <c r="J3" s="422"/>
      <c r="K3" s="89"/>
      <c r="L3" s="89"/>
      <c r="M3" s="456" t="s">
        <v>128</v>
      </c>
      <c r="N3" s="426" t="s">
        <v>119</v>
      </c>
      <c r="O3" s="426"/>
      <c r="P3" s="426"/>
      <c r="Q3" s="426"/>
      <c r="R3" s="426"/>
    </row>
    <row r="4" spans="1:18" ht="22.5" customHeight="1">
      <c r="A4" s="415"/>
      <c r="B4" s="417"/>
      <c r="C4" s="418"/>
      <c r="D4" s="419"/>
      <c r="E4" s="427" t="s">
        <v>127</v>
      </c>
      <c r="F4" s="454" t="s">
        <v>34</v>
      </c>
      <c r="G4" s="431" t="s">
        <v>116</v>
      </c>
      <c r="H4" s="424" t="s">
        <v>117</v>
      </c>
      <c r="I4" s="431" t="s">
        <v>122</v>
      </c>
      <c r="J4" s="424" t="s">
        <v>123</v>
      </c>
      <c r="K4" s="91" t="s">
        <v>65</v>
      </c>
      <c r="L4" s="96" t="s">
        <v>64</v>
      </c>
      <c r="M4" s="424"/>
      <c r="N4" s="433" t="s">
        <v>140</v>
      </c>
      <c r="O4" s="431" t="s">
        <v>50</v>
      </c>
      <c r="P4" s="435" t="s">
        <v>49</v>
      </c>
      <c r="Q4" s="97" t="s">
        <v>65</v>
      </c>
      <c r="R4" s="98" t="s">
        <v>64</v>
      </c>
    </row>
    <row r="5" spans="1:18" ht="92.25" customHeight="1">
      <c r="A5" s="416"/>
      <c r="B5" s="417"/>
      <c r="C5" s="418"/>
      <c r="D5" s="419"/>
      <c r="E5" s="428"/>
      <c r="F5" s="455"/>
      <c r="G5" s="432"/>
      <c r="H5" s="425"/>
      <c r="I5" s="432"/>
      <c r="J5" s="425"/>
      <c r="K5" s="436" t="s">
        <v>118</v>
      </c>
      <c r="L5" s="438"/>
      <c r="M5" s="425"/>
      <c r="N5" s="434"/>
      <c r="O5" s="432"/>
      <c r="P5" s="435"/>
      <c r="Q5" s="436" t="s">
        <v>120</v>
      </c>
      <c r="R5" s="43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39"/>
      <c r="H83" s="439"/>
      <c r="I83" s="439"/>
      <c r="J83" s="439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440"/>
      <c r="O84" s="440"/>
    </row>
    <row r="85" spans="3:15" ht="15">
      <c r="C85" s="87">
        <v>42426</v>
      </c>
      <c r="D85" s="31">
        <v>6256.2</v>
      </c>
      <c r="F85" s="124" t="s">
        <v>59</v>
      </c>
      <c r="G85" s="441"/>
      <c r="H85" s="441"/>
      <c r="I85" s="131"/>
      <c r="J85" s="442"/>
      <c r="K85" s="442"/>
      <c r="L85" s="442"/>
      <c r="M85" s="442"/>
      <c r="N85" s="440"/>
      <c r="O85" s="440"/>
    </row>
    <row r="86" spans="3:15" ht="15.75" customHeight="1">
      <c r="C86" s="87">
        <v>42425</v>
      </c>
      <c r="D86" s="31">
        <v>3536.9</v>
      </c>
      <c r="F86" s="73"/>
      <c r="G86" s="441"/>
      <c r="H86" s="441"/>
      <c r="I86" s="131"/>
      <c r="J86" s="443"/>
      <c r="K86" s="443"/>
      <c r="L86" s="443"/>
      <c r="M86" s="443"/>
      <c r="N86" s="440"/>
      <c r="O86" s="440"/>
    </row>
    <row r="87" spans="3:13" ht="15.75" customHeight="1">
      <c r="C87" s="87"/>
      <c r="F87" s="73"/>
      <c r="G87" s="447"/>
      <c r="H87" s="447"/>
      <c r="I87" s="139"/>
      <c r="J87" s="442"/>
      <c r="K87" s="442"/>
      <c r="L87" s="442"/>
      <c r="M87" s="442"/>
    </row>
    <row r="88" spans="2:13" ht="18.75" customHeight="1">
      <c r="B88" s="448" t="s">
        <v>57</v>
      </c>
      <c r="C88" s="449"/>
      <c r="D88" s="148">
        <v>505.3</v>
      </c>
      <c r="E88" s="74"/>
      <c r="F88" s="140" t="s">
        <v>137</v>
      </c>
      <c r="G88" s="441"/>
      <c r="H88" s="441"/>
      <c r="I88" s="141"/>
      <c r="J88" s="442"/>
      <c r="K88" s="442"/>
      <c r="L88" s="442"/>
      <c r="M88" s="442"/>
    </row>
    <row r="89" spans="6:12" ht="9.75" customHeight="1">
      <c r="F89" s="73"/>
      <c r="G89" s="441"/>
      <c r="H89" s="441"/>
      <c r="I89" s="73"/>
      <c r="J89" s="74"/>
      <c r="K89" s="74"/>
      <c r="L89" s="74"/>
    </row>
    <row r="90" spans="2:12" ht="22.5" customHeight="1" hidden="1">
      <c r="B90" s="444" t="s">
        <v>60</v>
      </c>
      <c r="C90" s="445"/>
      <c r="D90" s="86">
        <v>0</v>
      </c>
      <c r="E90" s="56" t="s">
        <v>24</v>
      </c>
      <c r="F90" s="73"/>
      <c r="G90" s="441"/>
      <c r="H90" s="441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41"/>
      <c r="O91" s="441"/>
    </row>
    <row r="92" spans="4:15" ht="15">
      <c r="D92" s="83"/>
      <c r="I92" s="31"/>
      <c r="N92" s="446"/>
      <c r="O92" s="446"/>
    </row>
    <row r="93" spans="14:15" ht="15">
      <c r="N93" s="441"/>
      <c r="O93" s="441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2016-10-31T10:20:29Z</cp:lastPrinted>
  <dcterms:created xsi:type="dcterms:W3CDTF">2003-07-28T11:27:56Z</dcterms:created>
  <dcterms:modified xsi:type="dcterms:W3CDTF">2016-10-31T10:32:22Z</dcterms:modified>
  <cp:category/>
  <cp:version/>
  <cp:contentType/>
  <cp:contentStatus/>
</cp:coreProperties>
</file>